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755" yWindow="60" windowWidth="14355" windowHeight="14205"/>
  </bookViews>
  <sheets>
    <sheet name="УШП" sheetId="1" r:id="rId1"/>
    <sheet name="Теплоизоляция" sheetId="2" r:id="rId2"/>
    <sheet name="Гидроизоляция" sheetId="3" r:id="rId3"/>
    <sheet name="Панели" sheetId="4" r:id="rId4"/>
    <sheet name="Мокрый фасад" sheetId="5" r:id="rId5"/>
  </sheets>
  <calcPr calcId="125725"/>
</workbook>
</file>

<file path=xl/calcChain.xml><?xml version="1.0" encoding="utf-8"?>
<calcChain xmlns="http://schemas.openxmlformats.org/spreadsheetml/2006/main">
  <c r="L166" i="1"/>
  <c r="M130"/>
  <c r="L144"/>
  <c r="L129"/>
  <c r="L130" s="1"/>
  <c r="L124"/>
  <c r="L118"/>
  <c r="L109"/>
  <c r="L100"/>
  <c r="L91"/>
  <c r="L52"/>
  <c r="L34"/>
  <c r="L33"/>
  <c r="L19"/>
  <c r="F13"/>
  <c r="F87"/>
  <c r="F85"/>
  <c r="K163"/>
  <c r="F163"/>
  <c r="J163" s="1"/>
  <c r="L163" s="1"/>
  <c r="K162"/>
  <c r="J162"/>
  <c r="K161"/>
  <c r="J161"/>
  <c r="L161" s="1"/>
  <c r="K160"/>
  <c r="L160" s="1"/>
  <c r="J159"/>
  <c r="K156"/>
  <c r="J156"/>
  <c r="J155"/>
  <c r="L155" s="1"/>
  <c r="J154"/>
  <c r="K154"/>
  <c r="L154" s="1"/>
  <c r="J150"/>
  <c r="L151"/>
  <c r="K151"/>
  <c r="J151"/>
  <c r="K150"/>
  <c r="L150" s="1"/>
  <c r="I149"/>
  <c r="K149" s="1"/>
  <c r="J149"/>
  <c r="K148"/>
  <c r="L148" s="1"/>
  <c r="K147"/>
  <c r="L147" s="1"/>
  <c r="L146"/>
  <c r="K146"/>
  <c r="J146"/>
  <c r="K141"/>
  <c r="F140"/>
  <c r="J140" s="1"/>
  <c r="I138"/>
  <c r="H138"/>
  <c r="K137"/>
  <c r="I137"/>
  <c r="K135"/>
  <c r="K134"/>
  <c r="L134" s="1"/>
  <c r="G133"/>
  <c r="G132"/>
  <c r="K132"/>
  <c r="J133"/>
  <c r="K133"/>
  <c r="J134"/>
  <c r="J135"/>
  <c r="J136"/>
  <c r="K136"/>
  <c r="J137"/>
  <c r="K138"/>
  <c r="J139"/>
  <c r="J142"/>
  <c r="K142"/>
  <c r="J143"/>
  <c r="K143"/>
  <c r="J132"/>
  <c r="L132" s="1"/>
  <c r="F142"/>
  <c r="F139"/>
  <c r="K139" s="1"/>
  <c r="F138"/>
  <c r="J138" s="1"/>
  <c r="F141"/>
  <c r="J141" s="1"/>
  <c r="L141" s="1"/>
  <c r="J87"/>
  <c r="K128"/>
  <c r="J128"/>
  <c r="K127"/>
  <c r="J127"/>
  <c r="J126"/>
  <c r="I126"/>
  <c r="F126"/>
  <c r="K39"/>
  <c r="K74"/>
  <c r="L74" s="1"/>
  <c r="K73"/>
  <c r="J73"/>
  <c r="F95"/>
  <c r="J95" s="1"/>
  <c r="K96"/>
  <c r="L96" s="1"/>
  <c r="J96"/>
  <c r="K86"/>
  <c r="L86" s="1"/>
  <c r="F84"/>
  <c r="K84" s="1"/>
  <c r="L84" s="1"/>
  <c r="F120"/>
  <c r="K120" s="1"/>
  <c r="L120" s="1"/>
  <c r="K82"/>
  <c r="F69"/>
  <c r="K69" s="1"/>
  <c r="L69" s="1"/>
  <c r="F65"/>
  <c r="K65" s="1"/>
  <c r="L65" s="1"/>
  <c r="F62"/>
  <c r="K62" s="1"/>
  <c r="F61"/>
  <c r="K61" s="1"/>
  <c r="F17"/>
  <c r="K17" s="1"/>
  <c r="F16"/>
  <c r="F15"/>
  <c r="K38"/>
  <c r="L38" s="1"/>
  <c r="J24"/>
  <c r="J23"/>
  <c r="K23"/>
  <c r="F22"/>
  <c r="J123"/>
  <c r="J122"/>
  <c r="L122" s="1"/>
  <c r="K121"/>
  <c r="J121"/>
  <c r="J120"/>
  <c r="J117"/>
  <c r="L117" s="1"/>
  <c r="I116"/>
  <c r="I107"/>
  <c r="F116"/>
  <c r="F115"/>
  <c r="K115" s="1"/>
  <c r="L115" s="1"/>
  <c r="K114"/>
  <c r="L114" s="1"/>
  <c r="F113"/>
  <c r="K113" s="1"/>
  <c r="L113" s="1"/>
  <c r="F112"/>
  <c r="K112" s="1"/>
  <c r="L112" s="1"/>
  <c r="K111"/>
  <c r="J111"/>
  <c r="J108"/>
  <c r="L108" s="1"/>
  <c r="F107"/>
  <c r="F106"/>
  <c r="J106" s="1"/>
  <c r="K105"/>
  <c r="L105" s="1"/>
  <c r="K104"/>
  <c r="L104" s="1"/>
  <c r="K97"/>
  <c r="L97" s="1"/>
  <c r="F103"/>
  <c r="K103" s="1"/>
  <c r="L103" s="1"/>
  <c r="F102"/>
  <c r="K102" s="1"/>
  <c r="K99"/>
  <c r="K98"/>
  <c r="J99"/>
  <c r="J98"/>
  <c r="J94"/>
  <c r="L94" s="1"/>
  <c r="F93"/>
  <c r="J93" s="1"/>
  <c r="L93" s="1"/>
  <c r="K90"/>
  <c r="J90"/>
  <c r="K89"/>
  <c r="J89"/>
  <c r="K88"/>
  <c r="J88"/>
  <c r="J85"/>
  <c r="K77"/>
  <c r="F83"/>
  <c r="K83" s="1"/>
  <c r="L83" s="1"/>
  <c r="J82"/>
  <c r="J62"/>
  <c r="F60"/>
  <c r="K81"/>
  <c r="L81" s="1"/>
  <c r="F79"/>
  <c r="K79" s="1"/>
  <c r="K80"/>
  <c r="L80" s="1"/>
  <c r="F78"/>
  <c r="K78" s="1"/>
  <c r="J77"/>
  <c r="F72"/>
  <c r="K72" s="1"/>
  <c r="L72" s="1"/>
  <c r="F67"/>
  <c r="F66"/>
  <c r="K71"/>
  <c r="L71" s="1"/>
  <c r="K70"/>
  <c r="L70" s="1"/>
  <c r="K68"/>
  <c r="J68"/>
  <c r="G68"/>
  <c r="I67"/>
  <c r="I66"/>
  <c r="J60"/>
  <c r="K64"/>
  <c r="L64" s="1"/>
  <c r="K63"/>
  <c r="J63"/>
  <c r="K51"/>
  <c r="L51" s="1"/>
  <c r="K50"/>
  <c r="L50" s="1"/>
  <c r="K49"/>
  <c r="L49" s="1"/>
  <c r="K43"/>
  <c r="L43" s="1"/>
  <c r="K44"/>
  <c r="L44" s="1"/>
  <c r="K45"/>
  <c r="L45" s="1"/>
  <c r="K46"/>
  <c r="L46" s="1"/>
  <c r="K47"/>
  <c r="L47" s="1"/>
  <c r="K48"/>
  <c r="L48" s="1"/>
  <c r="K42"/>
  <c r="L42" s="1"/>
  <c r="K41"/>
  <c r="L41" s="1"/>
  <c r="K40"/>
  <c r="L40" s="1"/>
  <c r="L39"/>
  <c r="K37"/>
  <c r="L37" s="1"/>
  <c r="K36"/>
  <c r="F33"/>
  <c r="K33" s="1"/>
  <c r="J28"/>
  <c r="J29"/>
  <c r="J30"/>
  <c r="J31"/>
  <c r="J27"/>
  <c r="L88" l="1"/>
  <c r="L82"/>
  <c r="L137"/>
  <c r="K106"/>
  <c r="L156"/>
  <c r="L157" s="1"/>
  <c r="L162"/>
  <c r="L164" s="1"/>
  <c r="L159"/>
  <c r="L149"/>
  <c r="L152" s="1"/>
  <c r="L138"/>
  <c r="L142"/>
  <c r="L133"/>
  <c r="L143"/>
  <c r="K140"/>
  <c r="L140" s="1"/>
  <c r="L139"/>
  <c r="L136"/>
  <c r="L135"/>
  <c r="L128"/>
  <c r="K95"/>
  <c r="J102"/>
  <c r="L102" s="1"/>
  <c r="L89"/>
  <c r="L90"/>
  <c r="K107"/>
  <c r="L107" s="1"/>
  <c r="L63"/>
  <c r="K126"/>
  <c r="L126" s="1"/>
  <c r="L127"/>
  <c r="L68"/>
  <c r="K87"/>
  <c r="L87" s="1"/>
  <c r="L106"/>
  <c r="J79"/>
  <c r="K85"/>
  <c r="L85" s="1"/>
  <c r="L121"/>
  <c r="L111"/>
  <c r="L79"/>
  <c r="K116"/>
  <c r="L116" s="1"/>
  <c r="L123"/>
  <c r="L73"/>
  <c r="L77"/>
  <c r="L99"/>
  <c r="L98"/>
  <c r="L95"/>
  <c r="L62"/>
  <c r="J61"/>
  <c r="L61" s="1"/>
  <c r="K67"/>
  <c r="L67" s="1"/>
  <c r="L78"/>
  <c r="K66"/>
  <c r="L66" s="1"/>
  <c r="K60"/>
  <c r="L60" s="1"/>
  <c r="K21"/>
  <c r="J21"/>
  <c r="J12"/>
  <c r="K12"/>
  <c r="K11"/>
  <c r="K9"/>
  <c r="H8"/>
  <c r="K8"/>
  <c r="L6"/>
  <c r="L28"/>
  <c r="L29"/>
  <c r="L30"/>
  <c r="L31"/>
  <c r="L36"/>
  <c r="L27"/>
  <c r="L24"/>
  <c r="K22"/>
  <c r="F18"/>
  <c r="K18" s="1"/>
  <c r="L18" s="1"/>
  <c r="L17"/>
  <c r="K16"/>
  <c r="L16" s="1"/>
  <c r="K15"/>
  <c r="L15" s="1"/>
  <c r="F14"/>
  <c r="J14" s="1"/>
  <c r="K13"/>
  <c r="F10"/>
  <c r="K10" s="1"/>
  <c r="F7"/>
  <c r="K7" s="1"/>
  <c r="F6"/>
  <c r="J5"/>
  <c r="L5" s="1"/>
  <c r="G5"/>
  <c r="L75" l="1"/>
  <c r="K14"/>
  <c r="L14" s="1"/>
  <c r="L9"/>
  <c r="L10"/>
  <c r="L8"/>
  <c r="L12"/>
  <c r="J22"/>
  <c r="L13"/>
  <c r="L23"/>
  <c r="L21"/>
  <c r="L11"/>
  <c r="L7"/>
  <c r="L22" l="1"/>
  <c r="L25" s="1"/>
  <c r="L53" l="1"/>
  <c r="L168" l="1"/>
  <c r="L54"/>
</calcChain>
</file>

<file path=xl/sharedStrings.xml><?xml version="1.0" encoding="utf-8"?>
<sst xmlns="http://schemas.openxmlformats.org/spreadsheetml/2006/main" count="447" uniqueCount="278">
  <si>
    <t>№п/п</t>
  </si>
  <si>
    <t>Кол-во</t>
  </si>
  <si>
    <t>Всего</t>
  </si>
  <si>
    <t>Наименование работ и материаллов</t>
  </si>
  <si>
    <t>Утепленная шведская плита</t>
  </si>
  <si>
    <t xml:space="preserve">Смета №1 </t>
  </si>
  <si>
    <t>Дог.№</t>
  </si>
  <si>
    <t>Материаллы</t>
  </si>
  <si>
    <t>Установка пароизолвционного слоя</t>
  </si>
  <si>
    <t>Стоимость ед.мат.</t>
  </si>
  <si>
    <t>Стоим. ед.раб.</t>
  </si>
  <si>
    <t>Геотекстиль 100</t>
  </si>
  <si>
    <t>м2</t>
  </si>
  <si>
    <t>м3</t>
  </si>
  <si>
    <t>Всего работ</t>
  </si>
  <si>
    <t>Всего мат-лов</t>
  </si>
  <si>
    <t>Устройство щебен.слоя толщ.0.1 м с посл. Трамбовкой</t>
  </si>
  <si>
    <t>м3/маш</t>
  </si>
  <si>
    <t>Песок карьерный с доставкой камазом 15 тн</t>
  </si>
  <si>
    <t>Щебень М400 фр.20-40 с доставкой камазом 15 тн</t>
  </si>
  <si>
    <t>Устройство подбетонки</t>
  </si>
  <si>
    <t>Бетон B7.5 доставкой</t>
  </si>
  <si>
    <t>Устройство гидроизоляции</t>
  </si>
  <si>
    <t>ТЕХНОНИКОЛЬ БикростХПП (15м2/рул.)</t>
  </si>
  <si>
    <t>Устройство обмазочной гидроизоляции (покрытие битумным праймером за 2 слоя)</t>
  </si>
  <si>
    <t>Праймер битумный "ТЕХНОНИКОЛЬ" №, 20 л(расх.0.35л/м2)</t>
  </si>
  <si>
    <t>м2/шт</t>
  </si>
  <si>
    <t>м2/рул</t>
  </si>
  <si>
    <t>Кз</t>
  </si>
  <si>
    <t>Устройство теплоизоляции из ЭППС</t>
  </si>
  <si>
    <t>Экструдированный пенополистирол ТехноНИКОЛЬ CARBON ECO SP («L»-кромка),200 мм(низ+бок.п.)</t>
  </si>
  <si>
    <t>Ед.изм.  раб/мат</t>
  </si>
  <si>
    <t>Раздел1.</t>
  </si>
  <si>
    <t>Бетон B15 с доставкой(2800м+400д)</t>
  </si>
  <si>
    <t>Доска сосна 2 сорт 50 мм</t>
  </si>
  <si>
    <t>Отмостка</t>
  </si>
  <si>
    <t>Устройство щебеночной подготовки с послойным трамбованием</t>
  </si>
  <si>
    <t>Устройство бетонной плиты</t>
  </si>
  <si>
    <t>шт</t>
  </si>
  <si>
    <t>Утепление отмостки</t>
  </si>
  <si>
    <t>Трудозатраты,чел</t>
  </si>
  <si>
    <t>63.95(8)</t>
  </si>
  <si>
    <t>11.7(1)</t>
  </si>
  <si>
    <t>128.5(2)</t>
  </si>
  <si>
    <t>128.5(9)</t>
  </si>
  <si>
    <t>5.6(1)</t>
  </si>
  <si>
    <t>Сети(в УШП и до колодцев и точек подключения)</t>
  </si>
  <si>
    <t>м.п.</t>
  </si>
  <si>
    <t>Прокладка трубопроводов отопления(тепылый пол)</t>
  </si>
  <si>
    <t>Прокладка трубопроводов канализации Ф50</t>
  </si>
  <si>
    <t>Прокладка трубопроводов канализации Ф100</t>
  </si>
  <si>
    <t>Разработка грунта экскаватором с погрузкой на самосвал и вывоз на полигон</t>
  </si>
  <si>
    <t>Устройство ж/б плиты с изготовлением арматурного каркаса и установкой опалубки</t>
  </si>
  <si>
    <t>ИТОГО:</t>
  </si>
  <si>
    <t>Укладка дреннажных труб со смотровыми колодцами</t>
  </si>
  <si>
    <t>Прокладка трубопроводов водоснабжения из металопластиковых труб</t>
  </si>
  <si>
    <t>Материаллы по сетям</t>
  </si>
  <si>
    <t>Прокладка сэл.сетей в гофротрубе</t>
  </si>
  <si>
    <t>Земляные работы(копка траншей вручную)</t>
  </si>
  <si>
    <t>Коллектор с вентилем Valtec 4 выхода х 1х 1/2 НР</t>
  </si>
  <si>
    <t>Муфта соединительная 16;1/2</t>
  </si>
  <si>
    <t>Кран шаровый 1/2 п/п</t>
  </si>
  <si>
    <t>Теплый пол</t>
  </si>
  <si>
    <t>Канализация</t>
  </si>
  <si>
    <t xml:space="preserve">Отвод наружный 110 мм, 45° </t>
  </si>
  <si>
    <t xml:space="preserve"> Тройник наружный Отвод наружный Ostendorf 110 мм</t>
  </si>
  <si>
    <t>Заглушка 110</t>
  </si>
  <si>
    <t>Дренаж</t>
  </si>
  <si>
    <t>Колодец дренажный смотровой 315х1000 мм с</t>
  </si>
  <si>
    <t>Труба дренажная с перфорацией с геотканью д-160мм</t>
  </si>
  <si>
    <t xml:space="preserve">Отвод для наружной канализации 160мм/90градусов </t>
  </si>
  <si>
    <t xml:space="preserve">Тройник для наружной канализации 160/160мм/90градусов </t>
  </si>
  <si>
    <t>Водопровод</t>
  </si>
  <si>
    <t xml:space="preserve">Труба металлопластиковая Henco 20х2 мм </t>
  </si>
  <si>
    <t>бух</t>
  </si>
  <si>
    <t xml:space="preserve"> </t>
  </si>
  <si>
    <t>Кабель ВВГнг-LS  3х2,5 (100 м)</t>
  </si>
  <si>
    <t>Электро</t>
  </si>
  <si>
    <t xml:space="preserve">Труба гофрированная 25 мм </t>
  </si>
  <si>
    <t>1м2</t>
  </si>
  <si>
    <t>Конструкции выше отм.0.000</t>
  </si>
  <si>
    <t xml:space="preserve">Устройство ж/б колонн в деревянной опалубке </t>
  </si>
  <si>
    <t xml:space="preserve">Устройство ж/б стен в деревянной опалубке </t>
  </si>
  <si>
    <t>Конструкции выше отм. 0.000</t>
  </si>
  <si>
    <t>Устройство опалубки плиты перекрытия на отм. 3.000 и 6.000</t>
  </si>
  <si>
    <t>Аренда опалубки перекрытия</t>
  </si>
  <si>
    <t>Стены наружные, перегородки, утепление ограждающих конструкций</t>
  </si>
  <si>
    <t>Кладка наружных стен из блоков</t>
  </si>
  <si>
    <t>Блоки керамзитобетонные М100</t>
  </si>
  <si>
    <t>Заливка перемычек на месте</t>
  </si>
  <si>
    <t>Кладка перегородок толщ. 0.12мм</t>
  </si>
  <si>
    <t>Кирпич одинарный КУЛПу-1НФ/125-150/1.4/50/ГОСТ 530-2012</t>
  </si>
  <si>
    <t>Утепление стен</t>
  </si>
  <si>
    <t>Утепление покрытия</t>
  </si>
  <si>
    <t>80.12(2)</t>
  </si>
  <si>
    <t>80.12(6)</t>
  </si>
  <si>
    <t>Стяжка армированная толщ.30 мм(360+60)</t>
  </si>
  <si>
    <t>Наружная отделка</t>
  </si>
  <si>
    <t>Установка лесов</t>
  </si>
  <si>
    <t>Аренда лесов (1 мес)</t>
  </si>
  <si>
    <t>м.п</t>
  </si>
  <si>
    <t>Аренда опалубки колонн (15 дн)</t>
  </si>
  <si>
    <t>Аренда опалубки стен(15дн)</t>
  </si>
  <si>
    <t>Штукатурка откосов оконных</t>
  </si>
  <si>
    <t>Штукатурка откосов дверных</t>
  </si>
  <si>
    <t>Вагонка листвнница</t>
  </si>
  <si>
    <t>Установка фальшфасада из дерева с окраской</t>
  </si>
  <si>
    <t>Лаги</t>
  </si>
  <si>
    <t>Доска 50</t>
  </si>
  <si>
    <t>Деревянный настил входов,терасс с окраской</t>
  </si>
  <si>
    <t>Декоративная пропитка Pinotex Classic, калужница, 2,7 л</t>
  </si>
  <si>
    <t>бан.</t>
  </si>
  <si>
    <t>бан</t>
  </si>
  <si>
    <t>Яхтный лак Marshall Protex 40 полуматовый, 2,5 л,2 слоя</t>
  </si>
  <si>
    <t>Подшивка потолка балконов</t>
  </si>
  <si>
    <t>Стойки швеллер36 ГОСТ 8240-89</t>
  </si>
  <si>
    <t>раб</t>
  </si>
  <si>
    <t>Сварка крылец</t>
  </si>
  <si>
    <t>Устройство кровли</t>
  </si>
  <si>
    <t>Устройство скатной кровли неутепленной</t>
  </si>
  <si>
    <t>Прорфлист окр</t>
  </si>
  <si>
    <t>Обрешетка</t>
  </si>
  <si>
    <t>Контрбрус</t>
  </si>
  <si>
    <t>Влагоизоляция    Изоспан Б</t>
  </si>
  <si>
    <t>Лаги 100х150</t>
  </si>
  <si>
    <t>рул</t>
  </si>
  <si>
    <t>Балки шв.24</t>
  </si>
  <si>
    <t>Монтаж, сварка</t>
  </si>
  <si>
    <t>Установка окон</t>
  </si>
  <si>
    <t>Установка дверей</t>
  </si>
  <si>
    <t>Дверь входная</t>
  </si>
  <si>
    <t>Люк утепленный 0.8х0.8</t>
  </si>
  <si>
    <t>Всего:</t>
  </si>
  <si>
    <t>ч</t>
  </si>
  <si>
    <t>Доработка дна котлована вручную(нет)</t>
  </si>
  <si>
    <t>Ут. ПСБ-С35</t>
  </si>
  <si>
    <t>Сетка кладочная Вр-1 ф4 (380х2000х3) 50х50(отсут)</t>
  </si>
  <si>
    <t>Бетон B15 с доставкой(2800м+400д)толщ.5-7 см</t>
  </si>
  <si>
    <t>Труба для теплого пола 16 х 2,0 (PE-RT)</t>
  </si>
  <si>
    <t>Коллекторный шкаф Wester ШРН-2</t>
  </si>
  <si>
    <t>Труба канализационная наружная f110х1000 мм</t>
  </si>
  <si>
    <t>Арматура комп. БПА-8(ф12),l=1482 м.п.</t>
  </si>
  <si>
    <t>Арматуракомп. БПА-6(ф8),l=5455 м.п.</t>
  </si>
  <si>
    <t>Арматура комп БПА-11(ф14),l=50 м.п.</t>
  </si>
  <si>
    <t>Арматура комп. БПА-4(ф6) l=65.5 м.п.</t>
  </si>
  <si>
    <t>Арматура комп БПА-8(ф12),l=244 м.п.</t>
  </si>
  <si>
    <t>Арматуракомп БПА-6(ф8),l=789.8 м.п.</t>
  </si>
  <si>
    <t>Арматура комп. БПА-4(ф6),l=48 м.п.</t>
  </si>
  <si>
    <t>Арматура комп. БПА-8,ф12,l=4364 м.п.</t>
  </si>
  <si>
    <t>Арматура комп.БПА-10,ф14,l=57.3 м.п.</t>
  </si>
  <si>
    <t>Арматура комп. БПА-6,ф8,l=6333 м.п.</t>
  </si>
  <si>
    <t>Арматура комп БПА-4(ф6),l=221 м.п.</t>
  </si>
  <si>
    <t>Раствор кладочный М100(с дост. Пригот на месте)</t>
  </si>
  <si>
    <t>Раствор кладочный М100(с дост. Приг нав месте)</t>
  </si>
  <si>
    <t>Арматура комп БПА-8(ф12),l=191.5 м.п.</t>
  </si>
  <si>
    <t>Арматура комп БПА-8,ф12,l=351 м.п.</t>
  </si>
  <si>
    <t xml:space="preserve"> «ТермоЛайф (TermoLife) Вент Фасад»;</t>
  </si>
  <si>
    <t xml:space="preserve"> «Изовол В»;</t>
  </si>
  <si>
    <t>«РокВул (RockWool) ВентиРок»;</t>
  </si>
  <si>
    <t>«УРСА (URSA)»</t>
  </si>
  <si>
    <t>марки М-25 Г, П-30 Г,</t>
  </si>
  <si>
    <t>а также с числом 35, 45, 60, 75 в наименовании</t>
  </si>
  <si>
    <t>«БасВул (BasWool) Вент Фасад»</t>
  </si>
  <si>
    <t>Источник</t>
  </si>
  <si>
    <t>Теплопроводность</t>
  </si>
  <si>
    <t>Город</t>
  </si>
  <si>
    <t>Самара</t>
  </si>
  <si>
    <t>Цена за м3</t>
  </si>
  <si>
    <t xml:space="preserve"> ИЗОРОК Вен-Фасад П -12</t>
  </si>
  <si>
    <t>Н. Новгород</t>
  </si>
  <si>
    <t>isover венти</t>
  </si>
  <si>
    <t>http://tolyatti.regmarkets.ru/product/376909c5954bc95619dcadd2533cbbd0/</t>
  </si>
  <si>
    <t xml:space="preserve">Утеплитель технофас коттедж </t>
  </si>
  <si>
    <t>http://tolyatti.regmarkets.ru/product/f21b8608907ecad910553a14cf6c1f67/</t>
  </si>
  <si>
    <t>тольятти</t>
  </si>
  <si>
    <t>Утеплитель rockwool фасад баттс</t>
  </si>
  <si>
    <t>http://tolyatti.regmarkets.ru/utepliteli-ventfasad/</t>
  </si>
  <si>
    <t>https://docviewer.yandex.ru/view/0/?*=Tjc%2FP6Ga2pphlTP%2F8UGk%2FxVYwDl7InVybCI6InlhLWJyb3dzZXI6Ly80RFQxdVhFUFJySlJYbFVGb2V3cnVJYzVRWkxJSW9BZFktT0x2RXplWTZkQVlUZHIzdkJDWGxlMmR0TGZVbWk2clNJaVRNN3JSRFRQNFQ2ZzBBRTduS1JXTVgwLUxVZzNCejk5aWJ0YzdlT2FuNFB4M0NsblZ</t>
  </si>
  <si>
    <t>Евроизол Эко 120(пол под стяжку)</t>
  </si>
  <si>
    <t>Евроизол ЭКО</t>
  </si>
  <si>
    <t>Раствор кладочный М100(с дост.с пригот. На месте)</t>
  </si>
  <si>
    <t>http://ресурс63.рф/gidroizolyacionnye-materialy</t>
  </si>
  <si>
    <t>Бикрост ХПП</t>
  </si>
  <si>
    <t>https://www.tstn.ru/product/ekstrudirovannyy-penopolistirol-xps-tekhnonikol-eco-sp-2360kh580kh100-mm-418528/</t>
  </si>
  <si>
    <t xml:space="preserve">ТЕХНОНИКОЛЬ CARBON ECO SP </t>
  </si>
  <si>
    <t>от 40000</t>
  </si>
  <si>
    <t>Крепеж для утеплителя 10х160 с пластиковым гвоздем</t>
  </si>
  <si>
    <t>Стоимость мокрого фасада с утеплением минеральной ватой</t>
  </si>
  <si>
    <t>Таблица: Цена на материалы для  1 кв.м. системы мокрого фасада с утеплителем из плит минеральной ваты (100 мм), в рублях с  учетом НДС, для глухой стены площадью 100 м2</t>
  </si>
  <si>
    <t>Марка системы мокрого фасада</t>
  </si>
  <si>
    <t>Цена на клей для плит из минеральной ваты</t>
  </si>
  <si>
    <t>Цена на базовый штукатурный слой</t>
  </si>
  <si>
    <t>Цена на декоративную штукатурку на минеральной основе</t>
  </si>
  <si>
    <t>Итоговая стоимость "пирога" мокрого фасада</t>
  </si>
  <si>
    <t>Alsecco</t>
  </si>
  <si>
    <t>Capatect</t>
  </si>
  <si>
    <t>Ceresit</t>
  </si>
  <si>
    <t>Rockfasade</t>
  </si>
  <si>
    <t>Weber</t>
  </si>
  <si>
    <t>BauColor</t>
  </si>
  <si>
    <t>Baumit</t>
  </si>
  <si>
    <t>Bergauf</t>
  </si>
  <si>
    <t>In-Teck</t>
  </si>
  <si>
    <t>Kreisel</t>
  </si>
  <si>
    <t>Лаэс</t>
  </si>
  <si>
    <t>Атлас</t>
  </si>
  <si>
    <t>Боларс</t>
  </si>
  <si>
    <t>Быстрой</t>
  </si>
  <si>
    <t>Классик</t>
  </si>
  <si>
    <t>не нужен</t>
  </si>
  <si>
    <t>Кнауф Тёплая Стена</t>
  </si>
  <si>
    <t>Крепс</t>
  </si>
  <si>
    <t>Плитонит</t>
  </si>
  <si>
    <t>Русмикс</t>
  </si>
  <si>
    <t>Стомикс</t>
  </si>
  <si>
    <t>Сэнарджи</t>
  </si>
  <si>
    <t>Тепло-Авангард</t>
  </si>
  <si>
    <t>Тёплый Дом (БИРСС)</t>
  </si>
  <si>
    <t>Термомакс</t>
  </si>
  <si>
    <t>Термошуба (Сармат)</t>
  </si>
  <si>
    <t>Шуба Плюс</t>
  </si>
  <si>
    <t>Самая высокая цена</t>
  </si>
  <si>
    <t>Самая низкая цена</t>
  </si>
  <si>
    <t>Средняя цена</t>
  </si>
  <si>
    <t xml:space="preserve">Устр-во мокрого вентфасада </t>
  </si>
  <si>
    <t>Ж/б каркас выше отм.0.000, ж/б лестница</t>
  </si>
  <si>
    <t>Изготовление ж/б лестницы</t>
  </si>
  <si>
    <t>Арматура комп БПА-8(ф12),l=148 м.п.</t>
  </si>
  <si>
    <t>Внутренняя отделка(черновая)</t>
  </si>
  <si>
    <t>Штукатурка внутренних поверхностей по маякам ц/п р-ром толщиной до 22 мм</t>
  </si>
  <si>
    <t>Отделка внутренних оконных откосов</t>
  </si>
  <si>
    <t>Отделка внутренних двернвх откосов</t>
  </si>
  <si>
    <t>Проект X149</t>
  </si>
  <si>
    <t>Устройство песчанной подушки глуб. 0.5 м с посл. трамбованием с перемещением  песка вручную</t>
  </si>
  <si>
    <t xml:space="preserve">Наружный балкон, терассы </t>
  </si>
  <si>
    <t>Установка окон,дверей*</t>
  </si>
  <si>
    <t>*-уточняется согласно цен предоставленных партнерами</t>
  </si>
  <si>
    <t>Внутренняя отделка(чистовая)</t>
  </si>
  <si>
    <t>В черновой отделке</t>
  </si>
  <si>
    <t>Грунтовка откосов</t>
  </si>
  <si>
    <t>Грунтовка стен(2р)</t>
  </si>
  <si>
    <t>Шпатлевка и шлифовка стен под покраску</t>
  </si>
  <si>
    <t>Покраска откосов валиком</t>
  </si>
  <si>
    <t>Покраска стен в/д краской валиком</t>
  </si>
  <si>
    <t>Облицовка стен дер. (липа)</t>
  </si>
  <si>
    <t>Облицовка стен плиткой</t>
  </si>
  <si>
    <t>Затирка керамической плитки</t>
  </si>
  <si>
    <t>Укладка штучного паркета в разбежку (ламинат)</t>
  </si>
  <si>
    <t>Окраска потолка комплексная (грунтовка, расшивка, заделка трещин, оклейка стыков, шпатлевка, окраска)</t>
  </si>
  <si>
    <t>Укладка плитки на пол</t>
  </si>
  <si>
    <t>Устройство чистовой стяжки самовыравнивающейся смесью под ламина</t>
  </si>
  <si>
    <t>OLECOLOR 5 кг</t>
  </si>
  <si>
    <t>Шпаклевка гипсовая «КНАУФ Ротбанд-Финиш»</t>
  </si>
  <si>
    <t xml:space="preserve">Краска акриловая Profilux </t>
  </si>
  <si>
    <t>155 р/м.п</t>
  </si>
  <si>
    <t>ПлиткаКлей Ceresit СМ 12, расх. 2.7 кг/м2</t>
  </si>
  <si>
    <t>Наливной пол Knauf Трибон</t>
  </si>
  <si>
    <t xml:space="preserve">Ламинат Castello Classic Twin Click 5340 Дуб </t>
  </si>
  <si>
    <t>Краска водно-дисперсионная Лакра цвет белый 6.5 кг</t>
  </si>
  <si>
    <t>Прокладка внутренних электросетей</t>
  </si>
  <si>
    <t>Укладка силового кабеля d до 10 мм, в штробе, без штробы в трубе ПНД</t>
  </si>
  <si>
    <t>Кабель ВВГнг-LS  3х1,5 (100 м)</t>
  </si>
  <si>
    <t>Труба ПВХ гофрированная с протяжкой d20мм</t>
  </si>
  <si>
    <t>Установка подрозетника в кирпич, пеноблок, гипс</t>
  </si>
  <si>
    <t>Установка электрощита</t>
  </si>
  <si>
    <t>Подразетник, выключатель</t>
  </si>
  <si>
    <t>Прокладка внутренних сетей водопровода и канализации</t>
  </si>
  <si>
    <t>Прокладка лежаков и стояков</t>
  </si>
  <si>
    <t>Подключение сантех приборов</t>
  </si>
  <si>
    <t>Сети водопровода</t>
  </si>
  <si>
    <t>Прокладка сетей отопления и вентиляции</t>
  </si>
  <si>
    <t>Установка полотенцесушителя</t>
  </si>
  <si>
    <t xml:space="preserve">Установка водонагревателя </t>
  </si>
  <si>
    <t>Монтаж гибкого воздуховода</t>
  </si>
  <si>
    <t>"под ключ"</t>
  </si>
  <si>
    <t>за м2:</t>
  </si>
  <si>
    <t>Дог. №</t>
  </si>
  <si>
    <t>"Стандарт"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</si>
</sst>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11">
    <font>
      <sz val="11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17"/>
      <color rgb="FF3B3B3B"/>
      <name val="Times New Roman"/>
      <family val="1"/>
      <charset val="204"/>
    </font>
    <font>
      <b/>
      <sz val="15"/>
      <color rgb="FF3B3B3B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333333"/>
      <name val="OfficinaSansCBook"/>
    </font>
    <font>
      <sz val="11"/>
      <color rgb="FF9C0006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BF8E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 style="medium">
        <color rgb="FFCCCCCC"/>
      </left>
      <right/>
      <top style="medium">
        <color rgb="FFCCCCCC"/>
      </top>
      <bottom style="medium">
        <color rgb="FF11111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11111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0" fillId="7" borderId="0" applyNumberFormat="0" applyBorder="0" applyAlignment="0" applyProtection="0"/>
  </cellStyleXfs>
  <cellXfs count="129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0" xfId="0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2" borderId="12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5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2" borderId="1" xfId="0" applyNumberFormat="1" applyFill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2" fillId="0" borderId="0" xfId="1" applyAlignment="1" applyProtection="1">
      <alignment wrapText="1"/>
    </xf>
    <xf numFmtId="0" fontId="0" fillId="0" borderId="0" xfId="0" applyFill="1" applyBorder="1" applyAlignment="1">
      <alignment horizontal="center" vertical="center" wrapText="1" shrinkToFit="1"/>
    </xf>
    <xf numFmtId="0" fontId="2" fillId="0" borderId="0" xfId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3" borderId="15" xfId="0" applyFont="1" applyFill="1" applyBorder="1" applyAlignment="1">
      <alignment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7" fillId="3" borderId="16" xfId="0" applyFont="1" applyFill="1" applyBorder="1" applyAlignment="1">
      <alignment horizontal="left" vertical="top" wrapText="1" indent="1"/>
    </xf>
    <xf numFmtId="0" fontId="7" fillId="4" borderId="16" xfId="0" applyFont="1" applyFill="1" applyBorder="1" applyAlignment="1">
      <alignment horizontal="left" vertical="top" wrapText="1" indent="1"/>
    </xf>
    <xf numFmtId="0" fontId="6" fillId="0" borderId="17" xfId="0" applyFont="1" applyBorder="1" applyAlignment="1">
      <alignment horizontal="left" vertical="top" wrapText="1" indent="2"/>
    </xf>
    <xf numFmtId="0" fontId="6" fillId="0" borderId="18" xfId="0" applyFont="1" applyBorder="1" applyAlignment="1">
      <alignment horizontal="left" vertical="top" wrapText="1" indent="2"/>
    </xf>
    <xf numFmtId="0" fontId="7" fillId="3" borderId="19" xfId="0" applyFont="1" applyFill="1" applyBorder="1" applyAlignment="1">
      <alignment horizontal="left" vertical="top" wrapText="1" indent="1"/>
    </xf>
    <xf numFmtId="0" fontId="7" fillId="4" borderId="19" xfId="0" applyFont="1" applyFill="1" applyBorder="1" applyAlignment="1">
      <alignment horizontal="left" vertical="top" wrapText="1" indent="1"/>
    </xf>
    <xf numFmtId="0" fontId="7" fillId="3" borderId="17" xfId="0" applyFont="1" applyFill="1" applyBorder="1" applyAlignment="1">
      <alignment horizontal="left" vertical="top" wrapText="1" indent="1"/>
    </xf>
    <xf numFmtId="0" fontId="7" fillId="3" borderId="18" xfId="0" applyFont="1" applyFill="1" applyBorder="1" applyAlignment="1">
      <alignment horizontal="left" vertical="top" wrapText="1" indent="1"/>
    </xf>
    <xf numFmtId="0" fontId="0" fillId="2" borderId="10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164" fontId="0" fillId="2" borderId="13" xfId="0" applyNumberFormat="1" applyFill="1" applyBorder="1" applyAlignment="1">
      <alignment horizontal="center" vertical="center"/>
    </xf>
    <xf numFmtId="164" fontId="0" fillId="2" borderId="9" xfId="0" applyNumberForma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10" fillId="7" borderId="1" xfId="2" applyBorder="1" applyAlignment="1">
      <alignment horizontal="center" vertical="center"/>
    </xf>
    <xf numFmtId="0" fontId="0" fillId="6" borderId="7" xfId="0" applyFill="1" applyBorder="1"/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6" borderId="5" xfId="0" applyNumberFormat="1" applyFill="1" applyBorder="1"/>
  </cellXfs>
  <cellStyles count="3">
    <cellStyle name="Гиперссылка" xfId="1" builtinId="8"/>
    <cellStyle name="Обычный" xfId="0" builtinId="0"/>
    <cellStyle name="Плохой" xfId="2" builtinId="2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9524</xdr:colOff>
      <xdr:row>0</xdr:row>
      <xdr:rowOff>47625</xdr:rowOff>
    </xdr:from>
    <xdr:to>
      <xdr:col>11</xdr:col>
      <xdr:colOff>732618</xdr:colOff>
      <xdr:row>1</xdr:row>
      <xdr:rowOff>0</xdr:rowOff>
    </xdr:to>
    <xdr:pic>
      <xdr:nvPicPr>
        <xdr:cNvPr id="2" name="Рисунок 1" descr="лого бел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982324" y="47625"/>
          <a:ext cx="2961469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tolyatti.regmarkets.ru/utepliteli-ventfasad/" TargetMode="External"/><Relationship Id="rId2" Type="http://schemas.openxmlformats.org/officeDocument/2006/relationships/hyperlink" Target="http://tolyatti.regmarkets.ru/product/f21b8608907ecad910553a14cf6c1f67/" TargetMode="External"/><Relationship Id="rId1" Type="http://schemas.openxmlformats.org/officeDocument/2006/relationships/hyperlink" Target="http://tolyatti.regmarkets.ru/product/376909c5954bc95619dcadd2533cbbd0/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www.tstn.ru/product/ekstrudirovannyy-penopolistirol-xps-tekhnonikol-eco-sp-2360kh580kh100-mm-418528/" TargetMode="External"/><Relationship Id="rId4" Type="http://schemas.openxmlformats.org/officeDocument/2006/relationships/hyperlink" Target="https://docviewer.yandex.ru/view/0/?*=Tjc%2FP6Ga2pphlTP%2F8UGk%2FxVYwDl7InVybCI6InlhLWJyb3dzZXI6Ly80RFQxdVhFUFJySlJYbFVGb2V3cnVJYzVRWkxJSW9BZFktT0x2RXplWTZkQVlUZHIzdkJDWGxlMmR0TGZVbWk2clNJaVRNN3JSRFRQNFQ2ZzBBRTduS1JXTVgwLUxVZzNCejk5aWJ0YzdlT2FuNFB4M0NsblZ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&#1088;&#1077;&#1089;&#1091;&#1088;&#1089;63.&#1088;&#1092;/gidroizolyacionnye-material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1"/>
  <sheetViews>
    <sheetView tabSelected="1" topLeftCell="G145" workbookViewId="0">
      <selection activeCell="L167" sqref="L167"/>
    </sheetView>
  </sheetViews>
  <sheetFormatPr defaultRowHeight="15"/>
  <cols>
    <col min="1" max="1" width="9.140625" style="8"/>
    <col min="2" max="2" width="43.42578125" style="4" customWidth="1"/>
    <col min="3" max="3" width="7.140625" style="4" customWidth="1"/>
    <col min="4" max="4" width="23" style="4" customWidth="1"/>
    <col min="5" max="5" width="11.42578125" style="4" customWidth="1"/>
    <col min="6" max="6" width="15.28515625" style="8" customWidth="1"/>
    <col min="7" max="7" width="18.85546875" style="8" customWidth="1"/>
    <col min="8" max="8" width="19.7109375" style="8" customWidth="1"/>
    <col min="9" max="9" width="16.5703125" style="8" customWidth="1"/>
    <col min="10" max="10" width="19.140625" style="8" customWidth="1"/>
    <col min="11" max="11" width="14.42578125" style="39" customWidth="1"/>
    <col min="12" max="12" width="13.42578125" style="39" customWidth="1"/>
    <col min="13" max="14" width="11.5703125" style="1" bestFit="1" customWidth="1"/>
    <col min="15" max="16384" width="9.140625" style="1"/>
  </cols>
  <sheetData>
    <row r="1" spans="1:12" ht="64.5" customHeight="1">
      <c r="A1" s="8" t="s">
        <v>5</v>
      </c>
      <c r="B1" s="4" t="s">
        <v>276</v>
      </c>
    </row>
    <row r="2" spans="1:12" ht="17.25" customHeight="1">
      <c r="A2" s="8" t="s">
        <v>6</v>
      </c>
      <c r="B2" s="4" t="s">
        <v>232</v>
      </c>
    </row>
    <row r="3" spans="1:12" s="8" customFormat="1" ht="37.5" customHeight="1">
      <c r="A3" s="13" t="s">
        <v>0</v>
      </c>
      <c r="B3" s="101" t="s">
        <v>3</v>
      </c>
      <c r="C3" s="19" t="s">
        <v>28</v>
      </c>
      <c r="D3" s="26" t="s">
        <v>7</v>
      </c>
      <c r="E3" s="26" t="s">
        <v>31</v>
      </c>
      <c r="F3" s="13" t="s">
        <v>1</v>
      </c>
      <c r="G3" s="13" t="s">
        <v>40</v>
      </c>
      <c r="H3" s="13" t="s">
        <v>10</v>
      </c>
      <c r="I3" s="13" t="s">
        <v>9</v>
      </c>
      <c r="J3" s="13" t="s">
        <v>14</v>
      </c>
      <c r="K3" s="40" t="s">
        <v>15</v>
      </c>
      <c r="L3" s="40" t="s">
        <v>2</v>
      </c>
    </row>
    <row r="4" spans="1:12">
      <c r="A4" s="10" t="s">
        <v>32</v>
      </c>
      <c r="B4" s="9" t="s">
        <v>4</v>
      </c>
      <c r="C4" s="9"/>
      <c r="D4" s="9"/>
      <c r="E4" s="9"/>
      <c r="F4" s="25"/>
      <c r="G4" s="25"/>
      <c r="H4" s="25"/>
      <c r="I4" s="25"/>
      <c r="J4" s="25"/>
      <c r="K4" s="41"/>
      <c r="L4" s="42"/>
    </row>
    <row r="5" spans="1:12" ht="30">
      <c r="A5" s="15">
        <v>1</v>
      </c>
      <c r="B5" s="102" t="s">
        <v>51</v>
      </c>
      <c r="C5" s="20">
        <v>1</v>
      </c>
      <c r="D5" s="27"/>
      <c r="E5" s="27" t="s">
        <v>133</v>
      </c>
      <c r="F5" s="15">
        <v>16</v>
      </c>
      <c r="G5" s="15">
        <f>0.86+2.76+3.62+1.25</f>
        <v>8.49</v>
      </c>
      <c r="H5" s="15">
        <v>1300</v>
      </c>
      <c r="I5" s="15"/>
      <c r="J5" s="15">
        <f>H5*F5</f>
        <v>20800</v>
      </c>
      <c r="K5" s="43"/>
      <c r="L5" s="43">
        <f>J5+K5</f>
        <v>20800</v>
      </c>
    </row>
    <row r="6" spans="1:12">
      <c r="A6" s="6">
        <v>2</v>
      </c>
      <c r="B6" s="103" t="s">
        <v>134</v>
      </c>
      <c r="C6" s="5">
        <v>1</v>
      </c>
      <c r="D6" s="7"/>
      <c r="E6" s="7" t="s">
        <v>13</v>
      </c>
      <c r="F6" s="6">
        <f>151.98*0.15*C6</f>
        <v>22.796999999999997</v>
      </c>
      <c r="G6" s="6">
        <v>26.9</v>
      </c>
      <c r="H6" s="6">
        <v>550</v>
      </c>
      <c r="I6" s="6"/>
      <c r="J6" s="6">
        <v>2000</v>
      </c>
      <c r="K6" s="44"/>
      <c r="L6" s="44">
        <f t="shared" ref="L6:L18" si="0">J6+K6</f>
        <v>2000</v>
      </c>
    </row>
    <row r="7" spans="1:12">
      <c r="A7" s="6">
        <v>3</v>
      </c>
      <c r="B7" s="103" t="s">
        <v>8</v>
      </c>
      <c r="C7" s="5">
        <v>1.2</v>
      </c>
      <c r="D7" s="7" t="s">
        <v>11</v>
      </c>
      <c r="E7" s="7" t="s">
        <v>12</v>
      </c>
      <c r="F7" s="6">
        <f>151.98*C7</f>
        <v>182.37599999999998</v>
      </c>
      <c r="G7" s="6">
        <v>8.74</v>
      </c>
      <c r="H7" s="6"/>
      <c r="I7" s="6">
        <v>34</v>
      </c>
      <c r="J7" s="6">
        <v>1500</v>
      </c>
      <c r="K7" s="44">
        <f>F7*I7</f>
        <v>6200.7839999999997</v>
      </c>
      <c r="L7" s="44">
        <f t="shared" si="0"/>
        <v>7700.7839999999997</v>
      </c>
    </row>
    <row r="8" spans="1:12" ht="45">
      <c r="A8" s="6">
        <v>4</v>
      </c>
      <c r="B8" s="103" t="s">
        <v>233</v>
      </c>
      <c r="C8" s="5">
        <v>1</v>
      </c>
      <c r="D8" s="7" t="s">
        <v>18</v>
      </c>
      <c r="E8" s="7" t="s">
        <v>17</v>
      </c>
      <c r="F8" s="86" t="s">
        <v>41</v>
      </c>
      <c r="G8" s="88">
        <v>380</v>
      </c>
      <c r="H8" s="6">
        <f>300+150</f>
        <v>450</v>
      </c>
      <c r="I8" s="6">
        <v>5500</v>
      </c>
      <c r="J8" s="6">
        <v>3000</v>
      </c>
      <c r="K8" s="44">
        <f>I8*8</f>
        <v>44000</v>
      </c>
      <c r="L8" s="44">
        <f t="shared" si="0"/>
        <v>47000</v>
      </c>
    </row>
    <row r="9" spans="1:12" ht="45">
      <c r="A9" s="6">
        <v>5</v>
      </c>
      <c r="B9" s="103" t="s">
        <v>16</v>
      </c>
      <c r="C9" s="5">
        <v>1</v>
      </c>
      <c r="D9" s="7" t="s">
        <v>19</v>
      </c>
      <c r="E9" s="7" t="s">
        <v>17</v>
      </c>
      <c r="F9" s="6" t="s">
        <v>42</v>
      </c>
      <c r="G9" s="6">
        <v>33</v>
      </c>
      <c r="H9" s="6">
        <v>450</v>
      </c>
      <c r="I9" s="6">
        <v>11000</v>
      </c>
      <c r="J9" s="6">
        <v>1500</v>
      </c>
      <c r="K9" s="44">
        <f>I9*1</f>
        <v>11000</v>
      </c>
      <c r="L9" s="44">
        <f t="shared" si="0"/>
        <v>12500</v>
      </c>
    </row>
    <row r="10" spans="1:12">
      <c r="A10" s="6">
        <v>6</v>
      </c>
      <c r="B10" s="103" t="s">
        <v>20</v>
      </c>
      <c r="C10" s="5">
        <v>1.1499999999999999</v>
      </c>
      <c r="D10" s="7" t="s">
        <v>21</v>
      </c>
      <c r="E10" s="7" t="s">
        <v>13</v>
      </c>
      <c r="F10" s="6">
        <f>111.7*0.1*C10</f>
        <v>12.845500000000001</v>
      </c>
      <c r="G10" s="6">
        <v>9.1</v>
      </c>
      <c r="H10" s="6">
        <v>1550</v>
      </c>
      <c r="I10" s="6">
        <v>3000</v>
      </c>
      <c r="J10" s="6">
        <v>2500</v>
      </c>
      <c r="K10" s="44">
        <f>I10*F10</f>
        <v>38536.500000000007</v>
      </c>
      <c r="L10" s="44">
        <f t="shared" si="0"/>
        <v>41036.500000000007</v>
      </c>
    </row>
    <row r="11" spans="1:12" ht="45">
      <c r="A11" s="6">
        <v>7</v>
      </c>
      <c r="B11" s="4" t="s">
        <v>24</v>
      </c>
      <c r="C11" s="5">
        <v>1.1499999999999999</v>
      </c>
      <c r="D11" s="23" t="s">
        <v>25</v>
      </c>
      <c r="E11" s="7" t="s">
        <v>26</v>
      </c>
      <c r="F11" s="6" t="s">
        <v>43</v>
      </c>
      <c r="G11" s="6">
        <v>10.94</v>
      </c>
      <c r="H11" s="6">
        <v>50</v>
      </c>
      <c r="I11" s="6">
        <v>2100</v>
      </c>
      <c r="J11" s="6">
        <v>2500</v>
      </c>
      <c r="K11" s="44">
        <f>I11*2</f>
        <v>4200</v>
      </c>
      <c r="L11" s="44">
        <f t="shared" si="0"/>
        <v>6700</v>
      </c>
    </row>
    <row r="12" spans="1:12" ht="45">
      <c r="A12" s="6">
        <v>8</v>
      </c>
      <c r="B12" s="103" t="s">
        <v>22</v>
      </c>
      <c r="C12" s="5">
        <v>1.1499999999999999</v>
      </c>
      <c r="D12" s="7" t="s">
        <v>23</v>
      </c>
      <c r="E12" s="7" t="s">
        <v>27</v>
      </c>
      <c r="F12" s="6" t="s">
        <v>44</v>
      </c>
      <c r="G12" s="6">
        <v>10.4</v>
      </c>
      <c r="H12" s="6">
        <v>100</v>
      </c>
      <c r="I12" s="6">
        <v>930</v>
      </c>
      <c r="J12" s="6">
        <f>128.5*H12</f>
        <v>12850</v>
      </c>
      <c r="K12" s="44">
        <f>I12*9</f>
        <v>8370</v>
      </c>
      <c r="L12" s="44">
        <f t="shared" si="0"/>
        <v>21220</v>
      </c>
    </row>
    <row r="13" spans="1:12" ht="90">
      <c r="A13" s="6">
        <v>9</v>
      </c>
      <c r="B13" s="103" t="s">
        <v>29</v>
      </c>
      <c r="C13" s="5">
        <v>1.1499999999999999</v>
      </c>
      <c r="D13" s="7" t="s">
        <v>30</v>
      </c>
      <c r="E13" s="7" t="s">
        <v>13</v>
      </c>
      <c r="F13" s="6">
        <f>111.7*0.1*C13/2</f>
        <v>6.4227500000000006</v>
      </c>
      <c r="G13" s="6">
        <v>8.9700000000000006</v>
      </c>
      <c r="H13" s="6">
        <v>160</v>
      </c>
      <c r="I13" s="6">
        <v>4973</v>
      </c>
      <c r="J13" s="6">
        <v>5000</v>
      </c>
      <c r="K13" s="44">
        <f>I13*F13</f>
        <v>31940.335750000002</v>
      </c>
      <c r="L13" s="44">
        <f t="shared" si="0"/>
        <v>36940.335749999998</v>
      </c>
    </row>
    <row r="14" spans="1:12" ht="30">
      <c r="A14" s="120">
        <v>10</v>
      </c>
      <c r="B14" s="98" t="s">
        <v>52</v>
      </c>
      <c r="C14" s="5">
        <v>1.1499999999999999</v>
      </c>
      <c r="D14" s="7" t="s">
        <v>33</v>
      </c>
      <c r="E14" s="7" t="s">
        <v>13</v>
      </c>
      <c r="F14" s="6">
        <f>111.7*0.2*C14</f>
        <v>25.691000000000003</v>
      </c>
      <c r="G14" s="120">
        <v>8.5299999999999994</v>
      </c>
      <c r="H14" s="6">
        <v>2000</v>
      </c>
      <c r="I14" s="6">
        <v>3200</v>
      </c>
      <c r="J14" s="6">
        <f>F14*H14</f>
        <v>51382.000000000007</v>
      </c>
      <c r="K14" s="44">
        <f>F14*I14</f>
        <v>82211.200000000012</v>
      </c>
      <c r="L14" s="44">
        <f t="shared" si="0"/>
        <v>133593.20000000001</v>
      </c>
    </row>
    <row r="15" spans="1:12" ht="30">
      <c r="A15" s="121"/>
      <c r="B15" s="24"/>
      <c r="C15" s="5">
        <v>1.1499999999999999</v>
      </c>
      <c r="D15" s="7" t="s">
        <v>142</v>
      </c>
      <c r="E15" s="7" t="s">
        <v>47</v>
      </c>
      <c r="F15" s="6">
        <f>5455*C15</f>
        <v>6273.2499999999991</v>
      </c>
      <c r="G15" s="121"/>
      <c r="H15" s="6"/>
      <c r="I15" s="6">
        <v>12</v>
      </c>
      <c r="J15" s="6"/>
      <c r="K15" s="44">
        <f t="shared" ref="K15:K18" si="1">F15*I15</f>
        <v>75278.999999999985</v>
      </c>
      <c r="L15" s="44">
        <f t="shared" si="0"/>
        <v>75278.999999999985</v>
      </c>
    </row>
    <row r="16" spans="1:12" ht="30">
      <c r="A16" s="121"/>
      <c r="B16" s="24"/>
      <c r="C16" s="5">
        <v>1.1499999999999999</v>
      </c>
      <c r="D16" s="7" t="s">
        <v>141</v>
      </c>
      <c r="E16" s="7" t="s">
        <v>47</v>
      </c>
      <c r="F16" s="6">
        <f>1482*C16</f>
        <v>1704.3</v>
      </c>
      <c r="G16" s="121"/>
      <c r="H16" s="6"/>
      <c r="I16" s="6">
        <v>19</v>
      </c>
      <c r="J16" s="6"/>
      <c r="K16" s="44">
        <f t="shared" si="1"/>
        <v>32381.7</v>
      </c>
      <c r="L16" s="44">
        <f t="shared" si="0"/>
        <v>32381.7</v>
      </c>
    </row>
    <row r="17" spans="1:12" ht="30">
      <c r="A17" s="121"/>
      <c r="B17" s="24"/>
      <c r="C17" s="5">
        <v>1.1499999999999999</v>
      </c>
      <c r="D17" s="57" t="s">
        <v>143</v>
      </c>
      <c r="E17" s="7" t="s">
        <v>47</v>
      </c>
      <c r="F17" s="6">
        <f>50*C17</f>
        <v>57.499999999999993</v>
      </c>
      <c r="G17" s="121"/>
      <c r="H17" s="6"/>
      <c r="I17" s="6">
        <v>28.5</v>
      </c>
      <c r="J17" s="6"/>
      <c r="K17" s="44">
        <f>F17*I17</f>
        <v>1638.7499999999998</v>
      </c>
      <c r="L17" s="44">
        <f t="shared" si="0"/>
        <v>1638.7499999999998</v>
      </c>
    </row>
    <row r="18" spans="1:12" ht="30">
      <c r="A18" s="121"/>
      <c r="B18" s="24"/>
      <c r="C18" s="19">
        <v>1.1499999999999999</v>
      </c>
      <c r="D18" s="29" t="s">
        <v>34</v>
      </c>
      <c r="E18" s="19" t="s">
        <v>13</v>
      </c>
      <c r="F18" s="13">
        <f>(172+(13.4+8.1)*4)*0.1*0.05*C18</f>
        <v>1.4834999999999998</v>
      </c>
      <c r="G18" s="121"/>
      <c r="H18" s="13"/>
      <c r="I18" s="13">
        <v>6825</v>
      </c>
      <c r="J18" s="13"/>
      <c r="K18" s="40">
        <f t="shared" si="1"/>
        <v>10124.887499999999</v>
      </c>
      <c r="L18" s="40">
        <f t="shared" si="0"/>
        <v>10124.887499999999</v>
      </c>
    </row>
    <row r="19" spans="1:12">
      <c r="A19" s="16"/>
      <c r="B19" s="17"/>
      <c r="C19" s="17"/>
      <c r="D19" s="17"/>
      <c r="E19" s="17"/>
      <c r="F19" s="28"/>
      <c r="G19" s="28"/>
      <c r="H19" s="28"/>
      <c r="I19" s="28"/>
      <c r="J19" s="28"/>
      <c r="K19" s="45" t="s">
        <v>53</v>
      </c>
      <c r="L19" s="46">
        <f>SUM(L5:L18)</f>
        <v>448915.15725000005</v>
      </c>
    </row>
    <row r="20" spans="1:12">
      <c r="A20" s="30"/>
      <c r="B20" s="31" t="s">
        <v>35</v>
      </c>
      <c r="C20" s="31"/>
      <c r="D20" s="31"/>
      <c r="E20" s="31"/>
      <c r="F20" s="32"/>
      <c r="G20" s="32"/>
      <c r="H20" s="32"/>
      <c r="I20" s="32"/>
      <c r="J20" s="32"/>
      <c r="K20" s="47"/>
      <c r="L20" s="48"/>
    </row>
    <row r="21" spans="1:12" ht="45">
      <c r="A21" s="14">
        <v>11</v>
      </c>
      <c r="B21" s="24" t="s">
        <v>36</v>
      </c>
      <c r="C21" s="24">
        <v>1.1499999999999999</v>
      </c>
      <c r="D21" s="24" t="s">
        <v>19</v>
      </c>
      <c r="E21" s="19" t="s">
        <v>13</v>
      </c>
      <c r="F21" s="14" t="s">
        <v>45</v>
      </c>
      <c r="G21" s="14">
        <v>0.12</v>
      </c>
      <c r="H21" s="14">
        <v>450</v>
      </c>
      <c r="I21" s="14">
        <v>11000</v>
      </c>
      <c r="J21" s="14">
        <f>5.6*H21</f>
        <v>2520</v>
      </c>
      <c r="K21" s="49">
        <f>1*1100</f>
        <v>1100</v>
      </c>
      <c r="L21" s="44">
        <f>J21+K21</f>
        <v>3620</v>
      </c>
    </row>
    <row r="22" spans="1:12">
      <c r="A22" s="6">
        <v>12</v>
      </c>
      <c r="B22" s="97" t="s">
        <v>39</v>
      </c>
      <c r="C22" s="5">
        <v>1.1499999999999999</v>
      </c>
      <c r="D22" s="57" t="s">
        <v>135</v>
      </c>
      <c r="E22" s="19" t="s">
        <v>13</v>
      </c>
      <c r="F22" s="6">
        <f>((15.4*2)+(8.1*2))*0.1</f>
        <v>4.7</v>
      </c>
      <c r="G22" s="6">
        <v>1.68</v>
      </c>
      <c r="H22" s="6">
        <v>160</v>
      </c>
      <c r="I22" s="6">
        <v>2100</v>
      </c>
      <c r="J22" s="6">
        <f>F22*H22</f>
        <v>752</v>
      </c>
      <c r="K22" s="44">
        <f>F22*I22</f>
        <v>9870</v>
      </c>
      <c r="L22" s="44">
        <f t="shared" ref="L22:L24" si="2">J22+K22</f>
        <v>10622</v>
      </c>
    </row>
    <row r="23" spans="1:12" ht="45">
      <c r="A23" s="122">
        <v>13</v>
      </c>
      <c r="B23" s="98" t="s">
        <v>37</v>
      </c>
      <c r="C23" s="118">
        <v>1.1499999999999999</v>
      </c>
      <c r="D23" s="57" t="s">
        <v>137</v>
      </c>
      <c r="E23" s="57" t="s">
        <v>13</v>
      </c>
      <c r="F23" s="6">
        <v>3</v>
      </c>
      <c r="G23" s="120">
        <v>7.8</v>
      </c>
      <c r="H23" s="6">
        <v>2400</v>
      </c>
      <c r="I23" s="6">
        <v>3200</v>
      </c>
      <c r="J23" s="6">
        <f>F23*H23</f>
        <v>7200</v>
      </c>
      <c r="K23" s="44">
        <f>F23*I23</f>
        <v>9600</v>
      </c>
      <c r="L23" s="44">
        <f t="shared" si="2"/>
        <v>16800</v>
      </c>
    </row>
    <row r="24" spans="1:12" ht="45">
      <c r="A24" s="120"/>
      <c r="B24" s="24"/>
      <c r="C24" s="119"/>
      <c r="D24" s="58" t="s">
        <v>136</v>
      </c>
      <c r="E24" s="19" t="s">
        <v>38</v>
      </c>
      <c r="F24" s="13">
        <v>87</v>
      </c>
      <c r="G24" s="121"/>
      <c r="H24" s="13"/>
      <c r="I24" s="13">
        <v>88</v>
      </c>
      <c r="J24" s="13">
        <f>F24*I24*0</f>
        <v>0</v>
      </c>
      <c r="K24" s="40"/>
      <c r="L24" s="40">
        <f t="shared" si="2"/>
        <v>0</v>
      </c>
    </row>
    <row r="25" spans="1:12">
      <c r="A25" s="16"/>
      <c r="B25" s="17"/>
      <c r="C25" s="17"/>
      <c r="D25" s="17"/>
      <c r="E25" s="17"/>
      <c r="F25" s="28"/>
      <c r="G25" s="28"/>
      <c r="H25" s="28"/>
      <c r="I25" s="28"/>
      <c r="J25" s="28"/>
      <c r="K25" s="45" t="s">
        <v>53</v>
      </c>
      <c r="L25" s="46">
        <f>SUM(L21:L24)</f>
        <v>31042</v>
      </c>
    </row>
    <row r="26" spans="1:12" ht="30">
      <c r="A26" s="30"/>
      <c r="B26" s="31" t="s">
        <v>46</v>
      </c>
      <c r="C26" s="31"/>
      <c r="D26" s="31"/>
      <c r="E26" s="31"/>
      <c r="F26" s="32"/>
      <c r="G26" s="32"/>
      <c r="H26" s="32"/>
      <c r="I26" s="32"/>
      <c r="J26" s="32"/>
      <c r="K26" s="47"/>
      <c r="L26" s="48"/>
    </row>
    <row r="27" spans="1:12" ht="30">
      <c r="A27" s="6">
        <v>14</v>
      </c>
      <c r="B27" s="97" t="s">
        <v>48</v>
      </c>
      <c r="C27" s="5">
        <v>1</v>
      </c>
      <c r="D27" s="23"/>
      <c r="E27" s="5" t="s">
        <v>12</v>
      </c>
      <c r="F27" s="6">
        <v>59.16</v>
      </c>
      <c r="G27" s="6">
        <v>9.77</v>
      </c>
      <c r="H27" s="6">
        <v>290</v>
      </c>
      <c r="I27" s="6"/>
      <c r="J27" s="6">
        <f>F27*H27</f>
        <v>17156.399999999998</v>
      </c>
      <c r="K27" s="44"/>
      <c r="L27" s="44">
        <f>J27+K27</f>
        <v>17156.399999999998</v>
      </c>
    </row>
    <row r="28" spans="1:12">
      <c r="A28" s="6">
        <v>15</v>
      </c>
      <c r="B28" s="97" t="s">
        <v>49</v>
      </c>
      <c r="C28" s="5">
        <v>1</v>
      </c>
      <c r="D28" s="23"/>
      <c r="E28" s="5" t="s">
        <v>47</v>
      </c>
      <c r="F28" s="6">
        <v>9.6999999999999993</v>
      </c>
      <c r="G28" s="6">
        <v>6.23</v>
      </c>
      <c r="H28" s="6">
        <v>60</v>
      </c>
      <c r="I28" s="6"/>
      <c r="J28" s="6">
        <f t="shared" ref="J28:J30" si="3">F28*H28</f>
        <v>582</v>
      </c>
      <c r="K28" s="44"/>
      <c r="L28" s="44">
        <f t="shared" ref="L28:L36" si="4">J28+K28</f>
        <v>582</v>
      </c>
    </row>
    <row r="29" spans="1:12" ht="30">
      <c r="A29" s="6">
        <v>16</v>
      </c>
      <c r="B29" s="97" t="s">
        <v>50</v>
      </c>
      <c r="C29" s="5">
        <v>1</v>
      </c>
      <c r="D29" s="23"/>
      <c r="E29" s="5" t="s">
        <v>47</v>
      </c>
      <c r="F29" s="6">
        <v>10.33</v>
      </c>
      <c r="G29" s="6">
        <v>6.36</v>
      </c>
      <c r="H29" s="6">
        <v>60</v>
      </c>
      <c r="I29" s="6"/>
      <c r="J29" s="6">
        <f t="shared" si="3"/>
        <v>619.79999999999995</v>
      </c>
      <c r="K29" s="44"/>
      <c r="L29" s="44">
        <f t="shared" si="4"/>
        <v>619.79999999999995</v>
      </c>
    </row>
    <row r="30" spans="1:12" ht="30">
      <c r="A30" s="6">
        <v>17</v>
      </c>
      <c r="B30" s="97" t="s">
        <v>55</v>
      </c>
      <c r="C30" s="5">
        <v>1</v>
      </c>
      <c r="D30" s="23"/>
      <c r="E30" s="5" t="s">
        <v>47</v>
      </c>
      <c r="F30" s="6">
        <v>5.7</v>
      </c>
      <c r="G30" s="6">
        <v>5.87</v>
      </c>
      <c r="H30" s="6">
        <v>90</v>
      </c>
      <c r="I30" s="6"/>
      <c r="J30" s="6">
        <f t="shared" si="3"/>
        <v>513</v>
      </c>
      <c r="K30" s="44"/>
      <c r="L30" s="44">
        <f t="shared" si="4"/>
        <v>513</v>
      </c>
    </row>
    <row r="31" spans="1:12" ht="30">
      <c r="A31" s="13">
        <v>18</v>
      </c>
      <c r="B31" s="98" t="s">
        <v>54</v>
      </c>
      <c r="C31" s="5">
        <v>1</v>
      </c>
      <c r="D31" s="29"/>
      <c r="E31" s="19" t="s">
        <v>47</v>
      </c>
      <c r="F31" s="13">
        <v>47</v>
      </c>
      <c r="G31" s="13"/>
      <c r="H31" s="13">
        <v>60</v>
      </c>
      <c r="I31" s="13"/>
      <c r="J31" s="13">
        <f>F31*H31</f>
        <v>2820</v>
      </c>
      <c r="K31" s="40"/>
      <c r="L31" s="40">
        <f>J31+K31</f>
        <v>2820</v>
      </c>
    </row>
    <row r="32" spans="1:12">
      <c r="A32" s="13">
        <v>19</v>
      </c>
      <c r="B32" s="21" t="s">
        <v>57</v>
      </c>
      <c r="C32" s="19">
        <v>1</v>
      </c>
      <c r="D32" s="21"/>
      <c r="E32" s="19" t="s">
        <v>47</v>
      </c>
      <c r="F32" s="13">
        <v>80</v>
      </c>
      <c r="G32" s="12"/>
      <c r="H32" s="12"/>
      <c r="I32" s="12"/>
      <c r="J32" s="12"/>
      <c r="K32" s="50"/>
      <c r="L32" s="50"/>
    </row>
    <row r="33" spans="1:12">
      <c r="A33" s="6">
        <v>20</v>
      </c>
      <c r="B33" s="3" t="s">
        <v>58</v>
      </c>
      <c r="C33" s="6">
        <v>1</v>
      </c>
      <c r="D33" s="3"/>
      <c r="E33" s="6" t="s">
        <v>13</v>
      </c>
      <c r="F33" s="6">
        <f>(0.7*0.5*10)+(20*0.5*2)+(5.7*0.5*2)+(1.5*1*1)</f>
        <v>30.7</v>
      </c>
      <c r="G33" s="2"/>
      <c r="H33" s="2">
        <v>550</v>
      </c>
      <c r="I33" s="2"/>
      <c r="J33" s="2"/>
      <c r="K33" s="51">
        <f>F33*H33</f>
        <v>16885</v>
      </c>
      <c r="L33" s="51">
        <f>J33+K33</f>
        <v>16885</v>
      </c>
    </row>
    <row r="34" spans="1:12">
      <c r="A34" s="16"/>
      <c r="B34" s="33"/>
      <c r="C34" s="28"/>
      <c r="D34" s="33"/>
      <c r="E34" s="28"/>
      <c r="F34" s="18"/>
      <c r="G34" s="18"/>
      <c r="H34" s="18"/>
      <c r="I34" s="18"/>
      <c r="J34" s="18"/>
      <c r="K34" s="45" t="s">
        <v>53</v>
      </c>
      <c r="L34" s="46">
        <f>SUM(L27:L33)</f>
        <v>38576.199999999997</v>
      </c>
    </row>
    <row r="35" spans="1:12">
      <c r="A35" s="10"/>
      <c r="B35" s="9" t="s">
        <v>56</v>
      </c>
      <c r="C35" s="9"/>
      <c r="D35" s="9"/>
      <c r="E35" s="9"/>
      <c r="F35" s="25"/>
      <c r="G35" s="25"/>
      <c r="H35" s="25"/>
      <c r="I35" s="25"/>
      <c r="J35" s="25"/>
      <c r="K35" s="41"/>
      <c r="L35" s="42"/>
    </row>
    <row r="36" spans="1:12" ht="30">
      <c r="A36" s="6">
        <v>19</v>
      </c>
      <c r="B36" s="97" t="s">
        <v>62</v>
      </c>
      <c r="C36" s="5">
        <v>1.1499999999999999</v>
      </c>
      <c r="D36" s="97" t="s">
        <v>138</v>
      </c>
      <c r="E36" s="5" t="s">
        <v>47</v>
      </c>
      <c r="F36" s="2"/>
      <c r="G36" s="6">
        <v>402</v>
      </c>
      <c r="H36" s="6"/>
      <c r="I36" s="6">
        <v>24</v>
      </c>
      <c r="J36" s="6"/>
      <c r="K36" s="44">
        <f>G36*I36*C36</f>
        <v>11095.199999999999</v>
      </c>
      <c r="L36" s="44">
        <f t="shared" si="4"/>
        <v>11095.199999999999</v>
      </c>
    </row>
    <row r="37" spans="1:12" ht="45">
      <c r="A37" s="6">
        <v>20</v>
      </c>
      <c r="B37" s="97" t="s">
        <v>62</v>
      </c>
      <c r="C37" s="5">
        <v>1</v>
      </c>
      <c r="D37" s="23" t="s">
        <v>59</v>
      </c>
      <c r="E37" s="5" t="s">
        <v>38</v>
      </c>
      <c r="F37" s="2"/>
      <c r="G37" s="6">
        <v>1</v>
      </c>
      <c r="H37" s="6"/>
      <c r="I37" s="6">
        <v>10422</v>
      </c>
      <c r="J37" s="6"/>
      <c r="K37" s="44">
        <f t="shared" ref="K37:K51" si="5">G37*I37</f>
        <v>10422</v>
      </c>
      <c r="L37" s="44">
        <f>J37+K37</f>
        <v>10422</v>
      </c>
    </row>
    <row r="38" spans="1:12" ht="30">
      <c r="A38" s="6">
        <v>21</v>
      </c>
      <c r="B38" s="97" t="s">
        <v>62</v>
      </c>
      <c r="C38" s="5">
        <v>1</v>
      </c>
      <c r="D38" s="57" t="s">
        <v>139</v>
      </c>
      <c r="E38" s="5" t="s">
        <v>38</v>
      </c>
      <c r="F38" s="2"/>
      <c r="G38" s="6">
        <v>1</v>
      </c>
      <c r="H38" s="6"/>
      <c r="I38" s="6">
        <v>1450</v>
      </c>
      <c r="J38" s="6"/>
      <c r="K38" s="44">
        <f>G38*I38</f>
        <v>1450</v>
      </c>
      <c r="L38" s="44">
        <f t="shared" ref="L38:L51" si="6">J38+K38</f>
        <v>1450</v>
      </c>
    </row>
    <row r="39" spans="1:12" ht="30">
      <c r="A39" s="6">
        <v>22</v>
      </c>
      <c r="B39" s="97" t="s">
        <v>62</v>
      </c>
      <c r="C39" s="5"/>
      <c r="D39" s="23" t="s">
        <v>60</v>
      </c>
      <c r="E39" s="5" t="s">
        <v>38</v>
      </c>
      <c r="F39" s="2"/>
      <c r="G39" s="6">
        <v>8</v>
      </c>
      <c r="H39" s="6"/>
      <c r="I39" s="6">
        <v>374</v>
      </c>
      <c r="J39" s="6"/>
      <c r="K39" s="44">
        <f>G39*I39*0</f>
        <v>0</v>
      </c>
      <c r="L39" s="44">
        <f t="shared" si="6"/>
        <v>0</v>
      </c>
    </row>
    <row r="40" spans="1:12">
      <c r="A40" s="6">
        <v>23</v>
      </c>
      <c r="B40" s="97" t="s">
        <v>62</v>
      </c>
      <c r="C40" s="5">
        <v>1</v>
      </c>
      <c r="D40" s="23" t="s">
        <v>61</v>
      </c>
      <c r="E40" s="5" t="s">
        <v>38</v>
      </c>
      <c r="F40" s="2"/>
      <c r="G40" s="6">
        <v>1</v>
      </c>
      <c r="H40" s="6"/>
      <c r="I40" s="6">
        <v>396</v>
      </c>
      <c r="J40" s="6"/>
      <c r="K40" s="44">
        <f t="shared" si="5"/>
        <v>396</v>
      </c>
      <c r="L40" s="44">
        <f t="shared" si="6"/>
        <v>396</v>
      </c>
    </row>
    <row r="41" spans="1:12" ht="45">
      <c r="A41" s="6">
        <v>24</v>
      </c>
      <c r="B41" s="97" t="s">
        <v>63</v>
      </c>
      <c r="C41" s="5">
        <v>1</v>
      </c>
      <c r="D41" s="57" t="s">
        <v>140</v>
      </c>
      <c r="E41" s="5" t="s">
        <v>38</v>
      </c>
      <c r="F41" s="6"/>
      <c r="G41" s="6">
        <v>20</v>
      </c>
      <c r="H41" s="6"/>
      <c r="I41" s="6">
        <v>283</v>
      </c>
      <c r="J41" s="6"/>
      <c r="K41" s="44">
        <f t="shared" si="5"/>
        <v>5660</v>
      </c>
      <c r="L41" s="44">
        <f t="shared" si="6"/>
        <v>5660</v>
      </c>
    </row>
    <row r="42" spans="1:12" ht="30">
      <c r="A42" s="6">
        <v>25</v>
      </c>
      <c r="B42" s="97" t="s">
        <v>63</v>
      </c>
      <c r="C42" s="5">
        <v>1</v>
      </c>
      <c r="D42" s="23" t="s">
        <v>64</v>
      </c>
      <c r="E42" s="5" t="s">
        <v>38</v>
      </c>
      <c r="F42" s="6"/>
      <c r="G42" s="6">
        <v>10</v>
      </c>
      <c r="H42" s="6"/>
      <c r="I42" s="6">
        <v>63</v>
      </c>
      <c r="J42" s="6"/>
      <c r="K42" s="44">
        <f t="shared" si="5"/>
        <v>630</v>
      </c>
      <c r="L42" s="44">
        <f t="shared" si="6"/>
        <v>630</v>
      </c>
    </row>
    <row r="43" spans="1:12" ht="45">
      <c r="A43" s="6">
        <v>26</v>
      </c>
      <c r="B43" s="97" t="s">
        <v>63</v>
      </c>
      <c r="C43" s="5">
        <v>1</v>
      </c>
      <c r="D43" s="23" t="s">
        <v>65</v>
      </c>
      <c r="E43" s="5" t="s">
        <v>38</v>
      </c>
      <c r="F43" s="6"/>
      <c r="G43" s="6">
        <v>5</v>
      </c>
      <c r="H43" s="6"/>
      <c r="I43" s="6">
        <v>176</v>
      </c>
      <c r="J43" s="6"/>
      <c r="K43" s="44">
        <f t="shared" si="5"/>
        <v>880</v>
      </c>
      <c r="L43" s="44">
        <f t="shared" si="6"/>
        <v>880</v>
      </c>
    </row>
    <row r="44" spans="1:12">
      <c r="A44" s="6">
        <v>27</v>
      </c>
      <c r="B44" s="97" t="s">
        <v>63</v>
      </c>
      <c r="C44" s="5">
        <v>1</v>
      </c>
      <c r="D44" s="23" t="s">
        <v>66</v>
      </c>
      <c r="E44" s="5" t="s">
        <v>38</v>
      </c>
      <c r="F44" s="6"/>
      <c r="G44" s="6">
        <v>5</v>
      </c>
      <c r="H44" s="6"/>
      <c r="I44" s="6">
        <v>50</v>
      </c>
      <c r="J44" s="6"/>
      <c r="K44" s="44">
        <f t="shared" si="5"/>
        <v>250</v>
      </c>
      <c r="L44" s="44">
        <f t="shared" si="6"/>
        <v>250</v>
      </c>
    </row>
    <row r="45" spans="1:12" ht="45">
      <c r="A45" s="6">
        <v>28</v>
      </c>
      <c r="B45" s="97" t="s">
        <v>67</v>
      </c>
      <c r="C45" s="5">
        <v>1</v>
      </c>
      <c r="D45" s="23" t="s">
        <v>68</v>
      </c>
      <c r="E45" s="5" t="s">
        <v>38</v>
      </c>
      <c r="F45" s="6"/>
      <c r="G45" s="6">
        <v>4</v>
      </c>
      <c r="H45" s="6"/>
      <c r="I45" s="6">
        <v>3226</v>
      </c>
      <c r="J45" s="6"/>
      <c r="K45" s="44">
        <f t="shared" si="5"/>
        <v>12904</v>
      </c>
      <c r="L45" s="44">
        <f t="shared" si="6"/>
        <v>12904</v>
      </c>
    </row>
    <row r="46" spans="1:12" ht="45">
      <c r="A46" s="6">
        <v>29</v>
      </c>
      <c r="B46" s="97" t="s">
        <v>67</v>
      </c>
      <c r="C46" s="5">
        <v>1</v>
      </c>
      <c r="D46" s="23" t="s">
        <v>69</v>
      </c>
      <c r="E46" s="5" t="s">
        <v>47</v>
      </c>
      <c r="F46" s="6"/>
      <c r="G46" s="6">
        <v>47.6</v>
      </c>
      <c r="H46" s="6"/>
      <c r="I46" s="6">
        <v>142</v>
      </c>
      <c r="J46" s="6"/>
      <c r="K46" s="44">
        <f t="shared" si="5"/>
        <v>6759.2</v>
      </c>
      <c r="L46" s="44">
        <f t="shared" si="6"/>
        <v>6759.2</v>
      </c>
    </row>
    <row r="47" spans="1:12" ht="45">
      <c r="A47" s="6">
        <v>30</v>
      </c>
      <c r="B47" s="97" t="s">
        <v>67</v>
      </c>
      <c r="C47" s="5">
        <v>1</v>
      </c>
      <c r="D47" s="23" t="s">
        <v>70</v>
      </c>
      <c r="E47" s="5" t="s">
        <v>38</v>
      </c>
      <c r="F47" s="6"/>
      <c r="G47" s="6">
        <v>4</v>
      </c>
      <c r="H47" s="6"/>
      <c r="I47" s="6">
        <v>585</v>
      </c>
      <c r="J47" s="6"/>
      <c r="K47" s="44">
        <f t="shared" si="5"/>
        <v>2340</v>
      </c>
      <c r="L47" s="44">
        <f t="shared" si="6"/>
        <v>2340</v>
      </c>
    </row>
    <row r="48" spans="1:12" ht="45">
      <c r="A48" s="6">
        <v>31</v>
      </c>
      <c r="B48" s="97" t="s">
        <v>67</v>
      </c>
      <c r="C48" s="5">
        <v>1</v>
      </c>
      <c r="D48" s="23" t="s">
        <v>71</v>
      </c>
      <c r="E48" s="5" t="s">
        <v>38</v>
      </c>
      <c r="F48" s="6"/>
      <c r="G48" s="6">
        <v>4</v>
      </c>
      <c r="H48" s="6"/>
      <c r="I48" s="6">
        <v>249</v>
      </c>
      <c r="J48" s="6"/>
      <c r="K48" s="44">
        <f t="shared" si="5"/>
        <v>996</v>
      </c>
      <c r="L48" s="44">
        <f t="shared" si="6"/>
        <v>996</v>
      </c>
    </row>
    <row r="49" spans="1:12" ht="45">
      <c r="A49" s="6">
        <v>32</v>
      </c>
      <c r="B49" s="97" t="s">
        <v>72</v>
      </c>
      <c r="C49" s="5">
        <v>1.1499999999999999</v>
      </c>
      <c r="D49" s="23" t="s">
        <v>73</v>
      </c>
      <c r="E49" s="5" t="s">
        <v>47</v>
      </c>
      <c r="F49" s="6" t="s">
        <v>75</v>
      </c>
      <c r="G49" s="6">
        <v>30</v>
      </c>
      <c r="H49" s="6"/>
      <c r="I49" s="6">
        <v>129</v>
      </c>
      <c r="J49" s="6"/>
      <c r="K49" s="44">
        <f t="shared" si="5"/>
        <v>3870</v>
      </c>
      <c r="L49" s="44">
        <f t="shared" si="6"/>
        <v>3870</v>
      </c>
    </row>
    <row r="50" spans="1:12" ht="30">
      <c r="A50" s="6">
        <v>33</v>
      </c>
      <c r="B50" s="4" t="s">
        <v>77</v>
      </c>
      <c r="C50" s="5">
        <v>1</v>
      </c>
      <c r="D50" s="91" t="s">
        <v>76</v>
      </c>
      <c r="E50" s="5" t="s">
        <v>74</v>
      </c>
      <c r="F50" s="6"/>
      <c r="G50" s="6">
        <v>1</v>
      </c>
      <c r="H50" s="6"/>
      <c r="I50" s="6">
        <v>5860</v>
      </c>
      <c r="J50" s="6"/>
      <c r="K50" s="44">
        <f t="shared" si="5"/>
        <v>5860</v>
      </c>
      <c r="L50" s="44">
        <f t="shared" si="6"/>
        <v>5860</v>
      </c>
    </row>
    <row r="51" spans="1:12" ht="30">
      <c r="A51" s="6">
        <v>34</v>
      </c>
      <c r="B51" s="97" t="s">
        <v>77</v>
      </c>
      <c r="C51" s="5">
        <v>1</v>
      </c>
      <c r="D51" s="23" t="s">
        <v>78</v>
      </c>
      <c r="E51" s="5" t="s">
        <v>38</v>
      </c>
      <c r="F51" s="6"/>
      <c r="G51" s="6">
        <v>1</v>
      </c>
      <c r="H51" s="6"/>
      <c r="I51" s="6">
        <v>839</v>
      </c>
      <c r="J51" s="6"/>
      <c r="K51" s="44">
        <f t="shared" si="5"/>
        <v>839</v>
      </c>
      <c r="L51" s="44">
        <f t="shared" si="6"/>
        <v>839</v>
      </c>
    </row>
    <row r="52" spans="1:12">
      <c r="A52" s="16"/>
      <c r="B52" s="17"/>
      <c r="C52" s="17"/>
      <c r="D52" s="17"/>
      <c r="E52" s="17"/>
      <c r="F52" s="28"/>
      <c r="G52" s="28"/>
      <c r="H52" s="28"/>
      <c r="I52" s="28"/>
      <c r="J52" s="28"/>
      <c r="K52" s="45" t="s">
        <v>53</v>
      </c>
      <c r="L52" s="46">
        <f>SUM(L36:L51)</f>
        <v>64351.399999999994</v>
      </c>
    </row>
    <row r="53" spans="1:12">
      <c r="K53" s="52" t="s">
        <v>53</v>
      </c>
      <c r="L53" s="44">
        <f>L19+L25+L34+L52</f>
        <v>582884.75725000002</v>
      </c>
    </row>
    <row r="54" spans="1:12">
      <c r="K54" s="52" t="s">
        <v>79</v>
      </c>
      <c r="L54" s="44">
        <f>L53/111.87</f>
        <v>5210.3759475283814</v>
      </c>
    </row>
    <row r="55" spans="1:12">
      <c r="B55" s="4" t="s">
        <v>80</v>
      </c>
    </row>
    <row r="57" spans="1:12" ht="30">
      <c r="A57" s="13" t="s">
        <v>0</v>
      </c>
      <c r="B57" s="101" t="s">
        <v>3</v>
      </c>
      <c r="C57" s="29" t="s">
        <v>28</v>
      </c>
      <c r="D57" s="26" t="s">
        <v>7</v>
      </c>
      <c r="E57" s="26" t="s">
        <v>31</v>
      </c>
      <c r="F57" s="13" t="s">
        <v>1</v>
      </c>
      <c r="G57" s="13" t="s">
        <v>40</v>
      </c>
      <c r="H57" s="13" t="s">
        <v>10</v>
      </c>
      <c r="I57" s="13" t="s">
        <v>9</v>
      </c>
      <c r="J57" s="13" t="s">
        <v>14</v>
      </c>
      <c r="K57" s="40" t="s">
        <v>15</v>
      </c>
      <c r="L57" s="40" t="s">
        <v>2</v>
      </c>
    </row>
    <row r="58" spans="1:12">
      <c r="A58" s="10" t="s">
        <v>32</v>
      </c>
      <c r="B58" s="9" t="s">
        <v>83</v>
      </c>
      <c r="C58" s="9"/>
      <c r="D58" s="9"/>
      <c r="E58" s="9"/>
      <c r="F58" s="25"/>
      <c r="G58" s="25"/>
      <c r="H58" s="25"/>
      <c r="I58" s="25"/>
      <c r="J58" s="25"/>
      <c r="K58" s="41"/>
      <c r="L58" s="42"/>
    </row>
    <row r="59" spans="1:12">
      <c r="A59" s="10"/>
      <c r="B59" s="9" t="s">
        <v>225</v>
      </c>
      <c r="C59" s="9"/>
      <c r="D59" s="9"/>
      <c r="E59" s="9"/>
      <c r="F59" s="25"/>
      <c r="G59" s="25"/>
      <c r="H59" s="25"/>
      <c r="I59" s="25"/>
      <c r="J59" s="25"/>
      <c r="K59" s="41"/>
      <c r="L59" s="42"/>
    </row>
    <row r="60" spans="1:12" ht="30">
      <c r="A60" s="122">
        <v>35</v>
      </c>
      <c r="B60" s="97" t="s">
        <v>81</v>
      </c>
      <c r="C60" s="23">
        <v>1.1499999999999999</v>
      </c>
      <c r="D60" s="23" t="s">
        <v>33</v>
      </c>
      <c r="E60" s="23" t="s">
        <v>13</v>
      </c>
      <c r="F60" s="11">
        <f>2.12*C60</f>
        <v>2.4379999999999997</v>
      </c>
      <c r="G60" s="11">
        <v>20.96</v>
      </c>
      <c r="H60" s="11">
        <v>2450</v>
      </c>
      <c r="I60" s="11">
        <v>3200</v>
      </c>
      <c r="J60" s="11">
        <f>H60*F60</f>
        <v>5973.0999999999995</v>
      </c>
      <c r="K60" s="44">
        <f>F60*I60*C60</f>
        <v>8971.8399999999983</v>
      </c>
      <c r="L60" s="44">
        <f>J60+K60</f>
        <v>14944.939999999999</v>
      </c>
    </row>
    <row r="61" spans="1:12" ht="30">
      <c r="A61" s="122"/>
      <c r="B61" s="97"/>
      <c r="C61" s="23">
        <v>1.1499999999999999</v>
      </c>
      <c r="D61" s="57" t="s">
        <v>144</v>
      </c>
      <c r="E61" s="57" t="s">
        <v>100</v>
      </c>
      <c r="F61" s="11">
        <f>65.51*C61</f>
        <v>75.336500000000001</v>
      </c>
      <c r="G61" s="11"/>
      <c r="H61" s="11"/>
      <c r="I61" s="11">
        <v>9</v>
      </c>
      <c r="J61" s="11">
        <f t="shared" ref="J61:J62" si="7">H61*F61</f>
        <v>0</v>
      </c>
      <c r="K61" s="44">
        <f t="shared" ref="K61:K62" si="8">F61*I61*C61</f>
        <v>779.73277499999995</v>
      </c>
      <c r="L61" s="44">
        <f t="shared" ref="L61:L62" si="9">J61+K61</f>
        <v>779.73277499999995</v>
      </c>
    </row>
    <row r="62" spans="1:12" ht="30">
      <c r="A62" s="122"/>
      <c r="B62" s="97"/>
      <c r="C62" s="23">
        <v>1.1499999999999999</v>
      </c>
      <c r="D62" s="57" t="s">
        <v>145</v>
      </c>
      <c r="E62" s="57" t="s">
        <v>100</v>
      </c>
      <c r="F62" s="11">
        <f>244*C62</f>
        <v>280.59999999999997</v>
      </c>
      <c r="G62" s="11"/>
      <c r="H62" s="11"/>
      <c r="I62" s="11">
        <v>19</v>
      </c>
      <c r="J62" s="11">
        <f t="shared" si="7"/>
        <v>0</v>
      </c>
      <c r="K62" s="44">
        <f t="shared" si="8"/>
        <v>6131.1099999999988</v>
      </c>
      <c r="L62" s="44">
        <f t="shared" si="9"/>
        <v>6131.1099999999988</v>
      </c>
    </row>
    <row r="63" spans="1:12" ht="30">
      <c r="A63" s="122">
        <v>36</v>
      </c>
      <c r="B63" s="97" t="s">
        <v>82</v>
      </c>
      <c r="C63" s="20">
        <v>1.1499999999999999</v>
      </c>
      <c r="D63" s="23" t="s">
        <v>33</v>
      </c>
      <c r="E63" s="27" t="s">
        <v>13</v>
      </c>
      <c r="F63" s="15">
        <v>10.199999999999999</v>
      </c>
      <c r="G63" s="15">
        <v>171.59</v>
      </c>
      <c r="H63" s="15">
        <v>2400</v>
      </c>
      <c r="I63" s="11">
        <v>3200</v>
      </c>
      <c r="J63" s="11">
        <f>H63*F63</f>
        <v>24480</v>
      </c>
      <c r="K63" s="44">
        <f>F63*I63*C63</f>
        <v>37535.999999999993</v>
      </c>
      <c r="L63" s="44">
        <f>J63+K63</f>
        <v>62015.999999999993</v>
      </c>
    </row>
    <row r="64" spans="1:12" ht="30">
      <c r="A64" s="122"/>
      <c r="B64" s="97"/>
      <c r="C64" s="20">
        <v>1.1499999999999999</v>
      </c>
      <c r="D64" s="57" t="s">
        <v>147</v>
      </c>
      <c r="E64" s="57" t="s">
        <v>100</v>
      </c>
      <c r="F64" s="11">
        <v>48</v>
      </c>
      <c r="G64" s="11"/>
      <c r="H64" s="11"/>
      <c r="I64" s="11">
        <v>9</v>
      </c>
      <c r="J64" s="11"/>
      <c r="K64" s="44">
        <f t="shared" ref="K64:K65" si="10">F64*I64*C64</f>
        <v>496.79999999999995</v>
      </c>
      <c r="L64" s="44">
        <f t="shared" ref="L64:L66" si="11">J64+K64</f>
        <v>496.79999999999995</v>
      </c>
    </row>
    <row r="65" spans="1:12" ht="30">
      <c r="A65" s="122"/>
      <c r="B65" s="97"/>
      <c r="C65" s="20">
        <v>1.1499999999999999</v>
      </c>
      <c r="D65" s="57" t="s">
        <v>146</v>
      </c>
      <c r="E65" s="57" t="s">
        <v>100</v>
      </c>
      <c r="F65" s="11">
        <f>789.8*C65</f>
        <v>908.26999999999987</v>
      </c>
      <c r="G65" s="11"/>
      <c r="H65" s="11"/>
      <c r="I65" s="11">
        <v>19</v>
      </c>
      <c r="J65" s="11"/>
      <c r="K65" s="44">
        <f t="shared" si="10"/>
        <v>19845.699499999995</v>
      </c>
      <c r="L65" s="44">
        <f t="shared" si="11"/>
        <v>19845.699499999995</v>
      </c>
    </row>
    <row r="66" spans="1:12">
      <c r="A66" s="15">
        <v>37</v>
      </c>
      <c r="B66" s="20" t="s">
        <v>101</v>
      </c>
      <c r="C66" s="23">
        <v>1</v>
      </c>
      <c r="D66" s="23"/>
      <c r="E66" s="23" t="s">
        <v>12</v>
      </c>
      <c r="F66" s="11">
        <f>2.12/0.2/0.2*4*0.4/2</f>
        <v>42.4</v>
      </c>
      <c r="G66" s="11"/>
      <c r="H66" s="11"/>
      <c r="I66" s="11">
        <f>20*15</f>
        <v>300</v>
      </c>
      <c r="J66" s="11"/>
      <c r="K66" s="44">
        <f>F66*I66</f>
        <v>12720</v>
      </c>
      <c r="L66" s="44">
        <f t="shared" si="11"/>
        <v>12720</v>
      </c>
    </row>
    <row r="67" spans="1:12">
      <c r="A67" s="11">
        <v>38</v>
      </c>
      <c r="B67" s="97" t="s">
        <v>102</v>
      </c>
      <c r="C67" s="23">
        <v>1</v>
      </c>
      <c r="D67" s="23"/>
      <c r="E67" s="23" t="s">
        <v>13</v>
      </c>
      <c r="F67" s="11">
        <f>102/2</f>
        <v>51</v>
      </c>
      <c r="G67" s="11"/>
      <c r="H67" s="11"/>
      <c r="I67" s="11">
        <f>20*15</f>
        <v>300</v>
      </c>
      <c r="J67" s="11"/>
      <c r="K67" s="44">
        <f>F67*I67</f>
        <v>15300</v>
      </c>
      <c r="L67" s="44">
        <f t="shared" ref="L67:L71" si="12">J67+K67</f>
        <v>15300</v>
      </c>
    </row>
    <row r="68" spans="1:12" ht="30">
      <c r="A68" s="15">
        <v>39</v>
      </c>
      <c r="B68" s="97" t="s">
        <v>84</v>
      </c>
      <c r="C68" s="23">
        <v>1.1499999999999999</v>
      </c>
      <c r="D68" s="23" t="s">
        <v>33</v>
      </c>
      <c r="E68" s="23" t="s">
        <v>13</v>
      </c>
      <c r="F68" s="11">
        <v>31.28</v>
      </c>
      <c r="G68" s="11">
        <f>34.74+0.86</f>
        <v>35.6</v>
      </c>
      <c r="H68" s="11">
        <v>2400</v>
      </c>
      <c r="I68" s="11">
        <v>3200</v>
      </c>
      <c r="J68" s="11">
        <f>H68*F68</f>
        <v>75072</v>
      </c>
      <c r="K68" s="44">
        <f>F68*I68*C68</f>
        <v>115110.39999999999</v>
      </c>
      <c r="L68" s="44">
        <f t="shared" si="12"/>
        <v>190182.39999999999</v>
      </c>
    </row>
    <row r="69" spans="1:12" ht="30">
      <c r="A69" s="11">
        <v>40</v>
      </c>
      <c r="B69" s="97"/>
      <c r="C69" s="23">
        <v>1.1499999999999999</v>
      </c>
      <c r="D69" s="7" t="s">
        <v>150</v>
      </c>
      <c r="E69" s="57" t="s">
        <v>100</v>
      </c>
      <c r="F69" s="11">
        <f>6333</f>
        <v>6333</v>
      </c>
      <c r="G69" s="11"/>
      <c r="H69" s="11"/>
      <c r="I69" s="11">
        <v>12</v>
      </c>
      <c r="J69" s="11"/>
      <c r="K69" s="44">
        <f>F69*I69</f>
        <v>75996</v>
      </c>
      <c r="L69" s="44">
        <f t="shared" si="12"/>
        <v>75996</v>
      </c>
    </row>
    <row r="70" spans="1:12" ht="30">
      <c r="A70" s="15">
        <v>41</v>
      </c>
      <c r="B70" s="97"/>
      <c r="C70" s="23">
        <v>1.1499999999999999</v>
      </c>
      <c r="D70" s="7" t="s">
        <v>148</v>
      </c>
      <c r="E70" s="57" t="s">
        <v>100</v>
      </c>
      <c r="F70" s="11">
        <v>4364</v>
      </c>
      <c r="G70" s="11"/>
      <c r="H70" s="11"/>
      <c r="I70" s="11">
        <v>19</v>
      </c>
      <c r="J70" s="11"/>
      <c r="K70" s="44">
        <f t="shared" ref="K70:K71" si="13">F70*I70</f>
        <v>82916</v>
      </c>
      <c r="L70" s="44">
        <f t="shared" si="12"/>
        <v>82916</v>
      </c>
    </row>
    <row r="71" spans="1:12" ht="30">
      <c r="A71" s="11">
        <v>42</v>
      </c>
      <c r="B71" s="97"/>
      <c r="C71" s="23">
        <v>1.1499999999999999</v>
      </c>
      <c r="D71" s="57" t="s">
        <v>149</v>
      </c>
      <c r="E71" s="57" t="s">
        <v>100</v>
      </c>
      <c r="F71" s="11">
        <v>57.3</v>
      </c>
      <c r="G71" s="11"/>
      <c r="H71" s="11"/>
      <c r="I71" s="11">
        <v>28.5</v>
      </c>
      <c r="J71" s="11"/>
      <c r="K71" s="44">
        <f t="shared" si="13"/>
        <v>1633.05</v>
      </c>
      <c r="L71" s="44">
        <f t="shared" si="12"/>
        <v>1633.05</v>
      </c>
    </row>
    <row r="72" spans="1:12">
      <c r="A72" s="15">
        <v>43</v>
      </c>
      <c r="B72" s="97" t="s">
        <v>85</v>
      </c>
      <c r="C72" s="23">
        <v>1</v>
      </c>
      <c r="D72" s="23"/>
      <c r="E72" s="23" t="s">
        <v>12</v>
      </c>
      <c r="F72" s="11">
        <f>156.4/2</f>
        <v>78.2</v>
      </c>
      <c r="G72" s="11"/>
      <c r="H72" s="11"/>
      <c r="I72" s="11">
        <v>300</v>
      </c>
      <c r="J72" s="11"/>
      <c r="K72" s="44">
        <f t="shared" ref="K72" si="14">F72*I72</f>
        <v>23460</v>
      </c>
      <c r="L72" s="44">
        <f t="shared" ref="L72:L73" si="15">J72+K72</f>
        <v>23460</v>
      </c>
    </row>
    <row r="73" spans="1:12" ht="30">
      <c r="A73" s="63">
        <v>44</v>
      </c>
      <c r="B73" s="98" t="s">
        <v>226</v>
      </c>
      <c r="C73" s="66">
        <v>1.1499999999999999</v>
      </c>
      <c r="D73" s="65" t="s">
        <v>33</v>
      </c>
      <c r="E73" s="65" t="s">
        <v>13</v>
      </c>
      <c r="F73" s="62">
        <v>1.44</v>
      </c>
      <c r="G73" s="62"/>
      <c r="H73" s="62">
        <v>2600</v>
      </c>
      <c r="I73" s="62">
        <v>3200</v>
      </c>
      <c r="J73" s="67">
        <f>H73*F73</f>
        <v>3744</v>
      </c>
      <c r="K73" s="44">
        <f>F73*I73*C73</f>
        <v>5299.2</v>
      </c>
      <c r="L73" s="44">
        <f t="shared" si="15"/>
        <v>9043.2000000000007</v>
      </c>
    </row>
    <row r="74" spans="1:12" ht="30">
      <c r="A74" s="63"/>
      <c r="B74" s="98"/>
      <c r="C74" s="66">
        <v>1.1499999999999999</v>
      </c>
      <c r="D74" s="66" t="s">
        <v>227</v>
      </c>
      <c r="E74" s="66" t="s">
        <v>100</v>
      </c>
      <c r="F74" s="62">
        <v>148</v>
      </c>
      <c r="G74" s="62"/>
      <c r="H74" s="62"/>
      <c r="I74" s="62">
        <v>19</v>
      </c>
      <c r="J74" s="62"/>
      <c r="K74" s="40">
        <f>F74*I74*C74</f>
        <v>3233.7999999999997</v>
      </c>
      <c r="L74" s="40">
        <f t="shared" ref="L74" si="16">J74+K74</f>
        <v>3233.7999999999997</v>
      </c>
    </row>
    <row r="75" spans="1:12">
      <c r="A75" s="16"/>
      <c r="B75" s="17"/>
      <c r="C75" s="17"/>
      <c r="D75" s="17"/>
      <c r="E75" s="17"/>
      <c r="F75" s="28"/>
      <c r="G75" s="28"/>
      <c r="H75" s="28"/>
      <c r="I75" s="28"/>
      <c r="J75" s="28"/>
      <c r="K75" s="45" t="s">
        <v>53</v>
      </c>
      <c r="L75" s="46">
        <f>SUM(L60:L74)</f>
        <v>518698.73227500002</v>
      </c>
    </row>
    <row r="76" spans="1:12" ht="30">
      <c r="A76" s="85"/>
      <c r="B76" s="31" t="s">
        <v>86</v>
      </c>
      <c r="C76" s="31"/>
      <c r="D76" s="31"/>
      <c r="E76" s="31"/>
      <c r="F76" s="32"/>
      <c r="G76" s="32"/>
      <c r="H76" s="32"/>
      <c r="I76" s="32"/>
      <c r="J76" s="32"/>
      <c r="K76" s="47"/>
      <c r="L76" s="48"/>
    </row>
    <row r="77" spans="1:12" ht="45">
      <c r="A77" s="120">
        <v>45</v>
      </c>
      <c r="B77" s="98" t="s">
        <v>87</v>
      </c>
      <c r="C77" s="20">
        <v>1.1499999999999999</v>
      </c>
      <c r="D77" s="20" t="s">
        <v>88</v>
      </c>
      <c r="E77" s="20" t="s">
        <v>13</v>
      </c>
      <c r="F77" s="15">
        <v>36</v>
      </c>
      <c r="G77" s="15">
        <v>158.72</v>
      </c>
      <c r="H77" s="15">
        <v>1400</v>
      </c>
      <c r="I77" s="15">
        <v>1343</v>
      </c>
      <c r="J77" s="15">
        <f>F77*H77*C77</f>
        <v>57959.999999999993</v>
      </c>
      <c r="K77" s="44">
        <f>F77*I77*C77</f>
        <v>55600.2</v>
      </c>
      <c r="L77" s="44">
        <f>J77+K77</f>
        <v>113560.19999999998</v>
      </c>
    </row>
    <row r="78" spans="1:12" ht="45">
      <c r="A78" s="125"/>
      <c r="B78" s="20"/>
      <c r="C78" s="20">
        <v>1.1499999999999999</v>
      </c>
      <c r="D78" s="56" t="s">
        <v>152</v>
      </c>
      <c r="E78" s="20" t="s">
        <v>13</v>
      </c>
      <c r="F78" s="11">
        <f>F77/10*C78</f>
        <v>4.1399999999999997</v>
      </c>
      <c r="G78" s="11"/>
      <c r="H78" s="11"/>
      <c r="I78" s="11">
        <v>2200</v>
      </c>
      <c r="J78" s="15"/>
      <c r="K78" s="44">
        <f>F78*I78</f>
        <v>9108</v>
      </c>
      <c r="L78" s="44">
        <f t="shared" ref="L78" si="17">J78+K78</f>
        <v>9108</v>
      </c>
    </row>
    <row r="79" spans="1:12" ht="30">
      <c r="A79" s="120">
        <v>46</v>
      </c>
      <c r="B79" s="98" t="s">
        <v>89</v>
      </c>
      <c r="C79" s="20">
        <v>1.1499999999999999</v>
      </c>
      <c r="D79" s="23" t="s">
        <v>33</v>
      </c>
      <c r="E79" s="20" t="s">
        <v>13</v>
      </c>
      <c r="F79" s="11">
        <f>0.2*0.2*116.1</f>
        <v>4.644000000000001</v>
      </c>
      <c r="G79" s="11"/>
      <c r="H79" s="11">
        <v>2500</v>
      </c>
      <c r="I79" s="11">
        <v>3200</v>
      </c>
      <c r="J79" s="64">
        <f>F79*H79*C79</f>
        <v>13351.500000000002</v>
      </c>
      <c r="K79" s="44">
        <f>F79*I79*C79</f>
        <v>17089.920000000002</v>
      </c>
      <c r="L79" s="44">
        <f>J79+K79</f>
        <v>30441.420000000006</v>
      </c>
    </row>
    <row r="80" spans="1:12" ht="30">
      <c r="A80" s="121"/>
      <c r="B80" s="24"/>
      <c r="C80" s="20">
        <v>1.1499999999999999</v>
      </c>
      <c r="D80" s="3" t="s">
        <v>151</v>
      </c>
      <c r="E80" s="57" t="s">
        <v>100</v>
      </c>
      <c r="F80" s="8">
        <v>221</v>
      </c>
      <c r="G80" s="11"/>
      <c r="H80" s="11"/>
      <c r="I80" s="11">
        <v>9</v>
      </c>
      <c r="J80" s="11"/>
      <c r="K80" s="44">
        <f t="shared" ref="K80:K81" si="18">F80*I80</f>
        <v>1989</v>
      </c>
      <c r="L80" s="44">
        <f t="shared" ref="L80:L81" si="19">J80+K80</f>
        <v>1989</v>
      </c>
    </row>
    <row r="81" spans="1:12" ht="30">
      <c r="A81" s="125"/>
      <c r="B81" s="20"/>
      <c r="C81" s="20">
        <v>1.1499999999999999</v>
      </c>
      <c r="D81" s="7" t="s">
        <v>155</v>
      </c>
      <c r="E81" s="57" t="s">
        <v>100</v>
      </c>
      <c r="F81" s="11">
        <v>351</v>
      </c>
      <c r="G81" s="11"/>
      <c r="H81" s="11"/>
      <c r="I81" s="11">
        <v>19</v>
      </c>
      <c r="J81" s="11"/>
      <c r="K81" s="44">
        <f t="shared" si="18"/>
        <v>6669</v>
      </c>
      <c r="L81" s="44">
        <f t="shared" si="19"/>
        <v>6669</v>
      </c>
    </row>
    <row r="82" spans="1:12" ht="60">
      <c r="A82" s="122">
        <v>47</v>
      </c>
      <c r="B82" s="98" t="s">
        <v>90</v>
      </c>
      <c r="C82" s="20">
        <v>1.1499999999999999</v>
      </c>
      <c r="D82" s="23" t="s">
        <v>91</v>
      </c>
      <c r="E82" s="23" t="s">
        <v>12</v>
      </c>
      <c r="F82" s="11">
        <v>34.270000000000003</v>
      </c>
      <c r="G82" s="11"/>
      <c r="H82" s="11">
        <v>420</v>
      </c>
      <c r="I82" s="11"/>
      <c r="J82" s="11">
        <f>F82*H82</f>
        <v>14393.400000000001</v>
      </c>
      <c r="K82" s="44">
        <f>1/(0.26*0.075)*F82*12*C82</f>
        <v>24252.615384615387</v>
      </c>
      <c r="L82" s="44">
        <f t="shared" ref="L82:L86" si="20">J82+K82</f>
        <v>38646.015384615384</v>
      </c>
    </row>
    <row r="83" spans="1:12" ht="45">
      <c r="A83" s="122"/>
      <c r="B83" s="24"/>
      <c r="C83" s="20">
        <v>1.1499999999999999</v>
      </c>
      <c r="D83" s="57" t="s">
        <v>153</v>
      </c>
      <c r="E83" s="23" t="s">
        <v>12</v>
      </c>
      <c r="F83" s="11">
        <f>34.27*0.12*0.1</f>
        <v>0.41124000000000005</v>
      </c>
      <c r="G83" s="11"/>
      <c r="H83" s="11"/>
      <c r="I83" s="11">
        <v>2200</v>
      </c>
      <c r="J83" s="11"/>
      <c r="K83" s="44">
        <f>F83*I83*C83</f>
        <v>1040.4372000000001</v>
      </c>
      <c r="L83" s="44">
        <f t="shared" si="20"/>
        <v>1040.4372000000001</v>
      </c>
    </row>
    <row r="84" spans="1:12" ht="30">
      <c r="A84" s="122"/>
      <c r="B84" s="20"/>
      <c r="C84" s="20">
        <v>1.1499999999999999</v>
      </c>
      <c r="D84" s="3" t="s">
        <v>154</v>
      </c>
      <c r="E84" s="57" t="s">
        <v>100</v>
      </c>
      <c r="F84" s="11">
        <f>191.5</f>
        <v>191.5</v>
      </c>
      <c r="G84" s="11"/>
      <c r="H84" s="11"/>
      <c r="I84" s="11">
        <v>19</v>
      </c>
      <c r="J84" s="11"/>
      <c r="K84" s="44">
        <f>F84*I84*C84</f>
        <v>4184.2749999999996</v>
      </c>
      <c r="L84" s="44">
        <f t="shared" si="20"/>
        <v>4184.2749999999996</v>
      </c>
    </row>
    <row r="85" spans="1:12" ht="30">
      <c r="A85" s="8">
        <v>48</v>
      </c>
      <c r="B85" s="97" t="s">
        <v>92</v>
      </c>
      <c r="C85" s="20">
        <v>1.1499999999999999</v>
      </c>
      <c r="D85" s="57" t="s">
        <v>172</v>
      </c>
      <c r="E85" s="23" t="s">
        <v>13</v>
      </c>
      <c r="F85" s="11">
        <f>180*0.1</f>
        <v>18</v>
      </c>
      <c r="G85" s="11"/>
      <c r="H85" s="11">
        <v>150</v>
      </c>
      <c r="I85" s="11">
        <v>4120</v>
      </c>
      <c r="J85" s="11">
        <f>(F85/0.15)*C85*H85</f>
        <v>20700</v>
      </c>
      <c r="K85" s="44">
        <f>I85*F85*C85</f>
        <v>85284</v>
      </c>
      <c r="L85" s="44">
        <f t="shared" si="20"/>
        <v>105984</v>
      </c>
    </row>
    <row r="86" spans="1:12" ht="38.25">
      <c r="B86" s="97"/>
      <c r="C86" s="20">
        <v>1.1499999999999999</v>
      </c>
      <c r="D86" s="74" t="s">
        <v>186</v>
      </c>
      <c r="E86" s="57" t="s">
        <v>12</v>
      </c>
      <c r="F86" s="55">
        <v>180</v>
      </c>
      <c r="G86" s="55"/>
      <c r="H86" s="55"/>
      <c r="I86" s="55">
        <v>4.5</v>
      </c>
      <c r="J86" s="55"/>
      <c r="K86" s="44">
        <f>I86*10*F86*C86</f>
        <v>9315</v>
      </c>
      <c r="L86" s="44">
        <f t="shared" si="20"/>
        <v>9315</v>
      </c>
    </row>
    <row r="87" spans="1:12">
      <c r="A87" s="11">
        <v>49</v>
      </c>
      <c r="B87" s="97" t="s">
        <v>93</v>
      </c>
      <c r="C87" s="20">
        <v>1.1499999999999999</v>
      </c>
      <c r="D87" s="57" t="s">
        <v>179</v>
      </c>
      <c r="E87" s="23" t="s">
        <v>13</v>
      </c>
      <c r="F87" s="11">
        <f>80.12*0.2</f>
        <v>16.024000000000001</v>
      </c>
      <c r="G87" s="11"/>
      <c r="H87" s="11">
        <v>100</v>
      </c>
      <c r="I87" s="11">
        <v>2916</v>
      </c>
      <c r="J87" s="11">
        <f>F87/0.2*H87*C87</f>
        <v>9213.7999999999993</v>
      </c>
      <c r="K87" s="44">
        <f>F87*I87*C87</f>
        <v>53734.881600000001</v>
      </c>
      <c r="L87" s="44">
        <f>J87+K87</f>
        <v>62948.681599999996</v>
      </c>
    </row>
    <row r="88" spans="1:12" ht="45">
      <c r="A88" s="13">
        <v>50</v>
      </c>
      <c r="B88" s="4" t="s">
        <v>24</v>
      </c>
      <c r="C88" s="29">
        <v>1.1499999999999999</v>
      </c>
      <c r="D88" s="29" t="s">
        <v>25</v>
      </c>
      <c r="E88" s="26" t="s">
        <v>26</v>
      </c>
      <c r="F88" s="13" t="s">
        <v>94</v>
      </c>
      <c r="G88" s="13"/>
      <c r="H88" s="13">
        <v>50</v>
      </c>
      <c r="I88" s="13">
        <v>2100</v>
      </c>
      <c r="J88" s="13">
        <f>H88*80.12</f>
        <v>4006</v>
      </c>
      <c r="K88" s="40">
        <f>I88*2</f>
        <v>4200</v>
      </c>
      <c r="L88" s="40">
        <f t="shared" ref="L88:L90" si="21">J88+K88</f>
        <v>8206</v>
      </c>
    </row>
    <row r="89" spans="1:12" ht="45">
      <c r="A89" s="11">
        <v>51</v>
      </c>
      <c r="B89" s="103" t="s">
        <v>22</v>
      </c>
      <c r="C89" s="23">
        <v>1.1499999999999999</v>
      </c>
      <c r="D89" s="7" t="s">
        <v>23</v>
      </c>
      <c r="E89" s="7" t="s">
        <v>27</v>
      </c>
      <c r="F89" s="11" t="s">
        <v>95</v>
      </c>
      <c r="G89" s="11"/>
      <c r="H89" s="11">
        <v>140</v>
      </c>
      <c r="I89" s="11">
        <v>1112</v>
      </c>
      <c r="J89" s="11">
        <f>80.12*H89</f>
        <v>11216.800000000001</v>
      </c>
      <c r="K89" s="44">
        <f>I89*6</f>
        <v>6672</v>
      </c>
      <c r="L89" s="44">
        <f t="shared" si="21"/>
        <v>17888.800000000003</v>
      </c>
    </row>
    <row r="90" spans="1:12" ht="45">
      <c r="A90" s="11">
        <v>52</v>
      </c>
      <c r="B90" s="97" t="s">
        <v>96</v>
      </c>
      <c r="C90" s="23">
        <v>1.1499999999999999</v>
      </c>
      <c r="D90" s="56" t="s">
        <v>180</v>
      </c>
      <c r="E90" s="20" t="s">
        <v>12</v>
      </c>
      <c r="F90" s="11">
        <v>80.12</v>
      </c>
      <c r="G90" s="11"/>
      <c r="H90" s="11">
        <v>420</v>
      </c>
      <c r="I90" s="11">
        <v>2200</v>
      </c>
      <c r="J90" s="11">
        <f>H90*F90</f>
        <v>33650.400000000001</v>
      </c>
      <c r="K90" s="44">
        <f>F90*0.03*I90*C90</f>
        <v>6081.1079999999993</v>
      </c>
      <c r="L90" s="44">
        <f t="shared" si="21"/>
        <v>39731.508000000002</v>
      </c>
    </row>
    <row r="91" spans="1:12">
      <c r="A91" s="13"/>
      <c r="B91" s="98"/>
      <c r="C91" s="29"/>
      <c r="D91" s="29"/>
      <c r="E91" s="29"/>
      <c r="F91" s="13"/>
      <c r="G91" s="13"/>
      <c r="H91" s="13"/>
      <c r="I91" s="13"/>
      <c r="J91" s="13"/>
      <c r="K91" s="53" t="s">
        <v>53</v>
      </c>
      <c r="L91" s="54">
        <f>SUM(L77:L90)</f>
        <v>449712.33718461532</v>
      </c>
    </row>
    <row r="92" spans="1:12">
      <c r="A92" s="10"/>
      <c r="B92" s="9" t="s">
        <v>97</v>
      </c>
      <c r="C92" s="9"/>
      <c r="D92" s="9"/>
      <c r="E92" s="9"/>
      <c r="F92" s="25"/>
      <c r="G92" s="25"/>
      <c r="H92" s="25"/>
      <c r="I92" s="25"/>
      <c r="J92" s="25"/>
      <c r="K92" s="41"/>
      <c r="L92" s="42"/>
    </row>
    <row r="93" spans="1:12">
      <c r="A93" s="11">
        <v>53</v>
      </c>
      <c r="B93" s="4" t="s">
        <v>99</v>
      </c>
      <c r="C93" s="23">
        <v>1</v>
      </c>
      <c r="E93" s="20" t="s">
        <v>12</v>
      </c>
      <c r="F93" s="11">
        <f>15*4</f>
        <v>60</v>
      </c>
      <c r="G93" s="11"/>
      <c r="H93" s="8">
        <v>40</v>
      </c>
      <c r="J93" s="11">
        <f>H93*F93</f>
        <v>2400</v>
      </c>
      <c r="K93" s="44"/>
      <c r="L93" s="44">
        <f t="shared" ref="L93" si="22">J93+K93</f>
        <v>2400</v>
      </c>
    </row>
    <row r="94" spans="1:12">
      <c r="A94" s="11">
        <v>54</v>
      </c>
      <c r="B94" s="97" t="s">
        <v>98</v>
      </c>
      <c r="C94" s="23">
        <v>1.1499999999999999</v>
      </c>
      <c r="D94" s="23"/>
      <c r="E94" s="20" t="s">
        <v>12</v>
      </c>
      <c r="F94" s="11">
        <v>192</v>
      </c>
      <c r="G94" s="11"/>
      <c r="H94" s="11">
        <v>110</v>
      </c>
      <c r="I94" s="11"/>
      <c r="J94" s="11">
        <f>H94*F94</f>
        <v>21120</v>
      </c>
      <c r="K94" s="44"/>
      <c r="L94" s="44">
        <f t="shared" ref="L94" si="23">J94+K94</f>
        <v>21120</v>
      </c>
    </row>
    <row r="95" spans="1:12">
      <c r="A95" s="11">
        <v>55</v>
      </c>
      <c r="B95" s="97" t="s">
        <v>224</v>
      </c>
      <c r="C95" s="23">
        <v>1.1499999999999999</v>
      </c>
      <c r="D95" s="23"/>
      <c r="E95" s="20" t="s">
        <v>12</v>
      </c>
      <c r="F95" s="11">
        <f>142</f>
        <v>142</v>
      </c>
      <c r="G95" s="11"/>
      <c r="H95" s="11">
        <v>1000</v>
      </c>
      <c r="I95" s="11">
        <v>503</v>
      </c>
      <c r="J95" s="37">
        <f>H95*F95</f>
        <v>142000</v>
      </c>
      <c r="K95" s="44">
        <f>F95*I95</f>
        <v>71426</v>
      </c>
      <c r="L95" s="44">
        <f t="shared" ref="L95:L99" si="24">J95+K95</f>
        <v>213426</v>
      </c>
    </row>
    <row r="96" spans="1:12" ht="30">
      <c r="A96" s="126">
        <v>56</v>
      </c>
      <c r="B96" s="97" t="s">
        <v>106</v>
      </c>
      <c r="C96" s="23">
        <v>1.1499999999999999</v>
      </c>
      <c r="D96" s="34" t="s">
        <v>105</v>
      </c>
      <c r="E96" s="20" t="s">
        <v>12</v>
      </c>
      <c r="F96" s="11">
        <v>171.2</v>
      </c>
      <c r="G96" s="11"/>
      <c r="H96" s="37">
        <v>500</v>
      </c>
      <c r="I96" s="11">
        <v>681</v>
      </c>
      <c r="J96" s="37">
        <f>H96*F96</f>
        <v>85600</v>
      </c>
      <c r="K96" s="44">
        <f>F96*I96*C96</f>
        <v>134075.28</v>
      </c>
      <c r="L96" s="44">
        <f>(J96+K96)</f>
        <v>219675.28</v>
      </c>
    </row>
    <row r="97" spans="1:12" ht="30">
      <c r="A97" s="127"/>
      <c r="B97" s="97" t="s">
        <v>110</v>
      </c>
      <c r="C97" s="34">
        <v>1</v>
      </c>
      <c r="D97" s="34"/>
      <c r="E97" s="20" t="s">
        <v>112</v>
      </c>
      <c r="F97" s="37">
        <v>7</v>
      </c>
      <c r="G97" s="37"/>
      <c r="H97" s="37"/>
      <c r="I97" s="37">
        <v>1248</v>
      </c>
      <c r="J97" s="37"/>
      <c r="K97" s="44">
        <f t="shared" ref="K97" si="25">F97*I97*C97</f>
        <v>8736</v>
      </c>
      <c r="L97" s="44">
        <f t="shared" ref="L97" si="26">J97+K97</f>
        <v>8736</v>
      </c>
    </row>
    <row r="98" spans="1:12">
      <c r="A98" s="8">
        <v>57</v>
      </c>
      <c r="B98" s="97" t="s">
        <v>103</v>
      </c>
      <c r="C98" s="23">
        <v>1.1499999999999999</v>
      </c>
      <c r="D98" s="23"/>
      <c r="E98" s="23" t="s">
        <v>100</v>
      </c>
      <c r="F98" s="11">
        <v>74</v>
      </c>
      <c r="G98" s="11"/>
      <c r="H98" s="11">
        <v>435</v>
      </c>
      <c r="I98" s="11"/>
      <c r="J98" s="37">
        <f t="shared" ref="J98:J99" si="27">H98*F98</f>
        <v>32190</v>
      </c>
      <c r="K98" s="44">
        <f t="shared" ref="K98:K99" si="28">F98*I98*C98</f>
        <v>0</v>
      </c>
      <c r="L98" s="113">
        <f t="shared" si="24"/>
        <v>32190</v>
      </c>
    </row>
    <row r="99" spans="1:12">
      <c r="A99" s="36">
        <v>58</v>
      </c>
      <c r="B99" s="98" t="s">
        <v>104</v>
      </c>
      <c r="C99" s="35">
        <v>1.1499999999999999</v>
      </c>
      <c r="D99" s="35"/>
      <c r="E99" s="35" t="s">
        <v>100</v>
      </c>
      <c r="F99" s="36">
        <v>30.2</v>
      </c>
      <c r="G99" s="36"/>
      <c r="H99" s="36">
        <v>435</v>
      </c>
      <c r="I99" s="36"/>
      <c r="J99" s="36">
        <f t="shared" si="27"/>
        <v>13137</v>
      </c>
      <c r="K99" s="40">
        <f t="shared" si="28"/>
        <v>0</v>
      </c>
      <c r="L99" s="114">
        <f t="shared" si="24"/>
        <v>13137</v>
      </c>
    </row>
    <row r="100" spans="1:12">
      <c r="A100" s="59"/>
      <c r="B100" s="60"/>
      <c r="C100" s="60"/>
      <c r="D100" s="60"/>
      <c r="E100" s="60"/>
      <c r="F100" s="61"/>
      <c r="G100" s="61"/>
      <c r="H100" s="61"/>
      <c r="I100" s="61"/>
      <c r="J100" s="61"/>
      <c r="K100" s="53" t="s">
        <v>53</v>
      </c>
      <c r="L100" s="54">
        <f>SUM(L93:L99)</f>
        <v>510684.28</v>
      </c>
    </row>
    <row r="101" spans="1:12">
      <c r="A101" s="10"/>
      <c r="B101" s="9" t="s">
        <v>234</v>
      </c>
      <c r="C101" s="9"/>
      <c r="D101" s="9"/>
      <c r="E101" s="9"/>
      <c r="F101" s="25"/>
      <c r="G101" s="25"/>
      <c r="H101" s="25"/>
      <c r="I101" s="25"/>
      <c r="J101" s="25"/>
      <c r="K101" s="41"/>
      <c r="L101" s="42"/>
    </row>
    <row r="102" spans="1:12" ht="30" customHeight="1">
      <c r="A102" s="8">
        <v>59</v>
      </c>
      <c r="B102" s="98" t="s">
        <v>109</v>
      </c>
      <c r="C102" s="35">
        <v>1.3</v>
      </c>
      <c r="D102" s="20" t="s">
        <v>108</v>
      </c>
      <c r="E102" s="20" t="s">
        <v>12</v>
      </c>
      <c r="F102" s="38">
        <f>13+13+4.12</f>
        <v>30.12</v>
      </c>
      <c r="G102" s="38"/>
      <c r="H102" s="38">
        <v>850</v>
      </c>
      <c r="I102" s="38">
        <v>900</v>
      </c>
      <c r="J102" s="38">
        <f>F102*H102</f>
        <v>25602</v>
      </c>
      <c r="K102" s="43">
        <f>F102*C102*I102</f>
        <v>35240.400000000009</v>
      </c>
      <c r="L102" s="40">
        <f t="shared" ref="L102:L104" si="29">J102+K102</f>
        <v>60842.400000000009</v>
      </c>
    </row>
    <row r="103" spans="1:12">
      <c r="A103" s="37">
        <v>60</v>
      </c>
      <c r="B103" s="20"/>
      <c r="C103" s="35">
        <v>1.1499999999999999</v>
      </c>
      <c r="D103" s="34" t="s">
        <v>107</v>
      </c>
      <c r="E103" s="34" t="s">
        <v>13</v>
      </c>
      <c r="F103" s="37">
        <f>((3*3.7)+(4*7.1))*0.1*0.15</f>
        <v>0.59250000000000003</v>
      </c>
      <c r="G103" s="37"/>
      <c r="H103" s="37"/>
      <c r="I103" s="37">
        <v>7000</v>
      </c>
      <c r="J103" s="37"/>
      <c r="K103" s="44">
        <f>F103*I103</f>
        <v>4147.5</v>
      </c>
      <c r="L103" s="40">
        <f t="shared" si="29"/>
        <v>4147.5</v>
      </c>
    </row>
    <row r="104" spans="1:12" ht="30">
      <c r="A104" s="8">
        <v>61</v>
      </c>
      <c r="B104" s="97" t="s">
        <v>110</v>
      </c>
      <c r="C104" s="35">
        <v>1.1499999999999999</v>
      </c>
      <c r="D104" s="34"/>
      <c r="E104" s="34" t="s">
        <v>111</v>
      </c>
      <c r="F104" s="37">
        <v>10</v>
      </c>
      <c r="G104" s="37"/>
      <c r="H104" s="37"/>
      <c r="I104" s="37">
        <v>1248</v>
      </c>
      <c r="J104" s="37"/>
      <c r="K104" s="44">
        <f t="shared" ref="K104" si="30">F104*I104*C104</f>
        <v>14351.999999999998</v>
      </c>
      <c r="L104" s="44">
        <f t="shared" si="29"/>
        <v>14351.999999999998</v>
      </c>
    </row>
    <row r="105" spans="1:12" ht="30">
      <c r="A105" s="37">
        <v>62</v>
      </c>
      <c r="B105" s="97" t="s">
        <v>113</v>
      </c>
      <c r="C105" s="34">
        <v>1.1499999999999999</v>
      </c>
      <c r="D105" s="34"/>
      <c r="E105" s="34"/>
      <c r="F105" s="37">
        <v>6</v>
      </c>
      <c r="G105" s="37"/>
      <c r="H105" s="37"/>
      <c r="I105" s="37">
        <v>1236</v>
      </c>
      <c r="J105" s="37"/>
      <c r="K105" s="44">
        <f t="shared" ref="K105" si="31">F105*I105*C105</f>
        <v>8528.4</v>
      </c>
      <c r="L105" s="44">
        <f t="shared" ref="L105:L107" si="32">J105+K105</f>
        <v>8528.4</v>
      </c>
    </row>
    <row r="106" spans="1:12">
      <c r="A106" s="37">
        <v>63</v>
      </c>
      <c r="B106" s="97" t="s">
        <v>114</v>
      </c>
      <c r="C106" s="34">
        <v>1.1499999999999999</v>
      </c>
      <c r="D106" s="34" t="s">
        <v>105</v>
      </c>
      <c r="E106" s="34"/>
      <c r="F106" s="37">
        <f>13+13+4.12</f>
        <v>30.12</v>
      </c>
      <c r="G106" s="37"/>
      <c r="H106" s="37">
        <v>500</v>
      </c>
      <c r="I106" s="37">
        <v>681</v>
      </c>
      <c r="J106" s="37">
        <f>H106*F106</f>
        <v>15060</v>
      </c>
      <c r="K106" s="44">
        <f>F106*I106*C106</f>
        <v>23588.477999999999</v>
      </c>
      <c r="L106" s="44">
        <f t="shared" si="32"/>
        <v>38648.478000000003</v>
      </c>
    </row>
    <row r="107" spans="1:12">
      <c r="A107" s="37">
        <v>64</v>
      </c>
      <c r="B107" s="97" t="s">
        <v>115</v>
      </c>
      <c r="C107" s="34">
        <v>1.1499999999999999</v>
      </c>
      <c r="D107" s="34"/>
      <c r="E107" s="34" t="s">
        <v>47</v>
      </c>
      <c r="F107" s="37">
        <f>(6*2)+(7.2*2*2)+(1.1*3)+3</f>
        <v>47.099999999999994</v>
      </c>
      <c r="G107" s="37"/>
      <c r="H107" s="37"/>
      <c r="I107" s="37">
        <f>42*39.4</f>
        <v>1654.8</v>
      </c>
      <c r="J107" s="37"/>
      <c r="K107" s="44">
        <f>F107*I107*C107</f>
        <v>89632.241999999984</v>
      </c>
      <c r="L107" s="44">
        <f t="shared" si="32"/>
        <v>89632.241999999984</v>
      </c>
    </row>
    <row r="108" spans="1:12">
      <c r="A108" s="37">
        <v>65</v>
      </c>
      <c r="B108" s="97" t="s">
        <v>117</v>
      </c>
      <c r="C108" s="34"/>
      <c r="D108" s="34"/>
      <c r="E108" s="34" t="s">
        <v>116</v>
      </c>
      <c r="F108" s="37">
        <v>1</v>
      </c>
      <c r="G108" s="37"/>
      <c r="H108" s="37">
        <v>15000</v>
      </c>
      <c r="I108" s="37"/>
      <c r="J108" s="37">
        <f>H108*F108</f>
        <v>15000</v>
      </c>
      <c r="K108" s="44"/>
      <c r="L108" s="44">
        <f t="shared" ref="L108" si="33">J108+K108</f>
        <v>15000</v>
      </c>
    </row>
    <row r="109" spans="1:12">
      <c r="A109" s="59"/>
      <c r="B109" s="60"/>
      <c r="C109" s="60"/>
      <c r="D109" s="60"/>
      <c r="E109" s="60"/>
      <c r="F109" s="61"/>
      <c r="G109" s="61"/>
      <c r="H109" s="61"/>
      <c r="I109" s="61"/>
      <c r="J109" s="61"/>
      <c r="K109" s="53" t="s">
        <v>53</v>
      </c>
      <c r="L109" s="54">
        <f>SUM(L102:L108)</f>
        <v>231151.02</v>
      </c>
    </row>
    <row r="110" spans="1:12">
      <c r="A110" s="10"/>
      <c r="B110" s="9" t="s">
        <v>118</v>
      </c>
      <c r="C110" s="9"/>
      <c r="D110" s="9"/>
      <c r="E110" s="9"/>
      <c r="F110" s="25"/>
      <c r="G110" s="25"/>
      <c r="H110" s="25"/>
      <c r="I110" s="25"/>
      <c r="J110" s="25"/>
      <c r="K110" s="41"/>
      <c r="L110" s="42"/>
    </row>
    <row r="111" spans="1:12">
      <c r="A111" s="120">
        <v>66</v>
      </c>
      <c r="B111" s="97" t="s">
        <v>119</v>
      </c>
      <c r="C111" s="34">
        <v>1.1499999999999999</v>
      </c>
      <c r="D111" s="34" t="s">
        <v>120</v>
      </c>
      <c r="E111" s="34" t="s">
        <v>12</v>
      </c>
      <c r="F111" s="37">
        <v>143</v>
      </c>
      <c r="G111" s="37"/>
      <c r="H111" s="37">
        <v>500</v>
      </c>
      <c r="I111" s="37">
        <v>250</v>
      </c>
      <c r="J111" s="37">
        <f>F111*H111</f>
        <v>71500</v>
      </c>
      <c r="K111" s="44">
        <f>F111*C111*I111</f>
        <v>41112.5</v>
      </c>
      <c r="L111" s="44">
        <f t="shared" ref="L111" si="34">J111+K111</f>
        <v>112612.5</v>
      </c>
    </row>
    <row r="112" spans="1:12">
      <c r="A112" s="121"/>
      <c r="B112" s="97"/>
      <c r="C112" s="34">
        <v>1.1499999999999999</v>
      </c>
      <c r="D112" s="34" t="s">
        <v>121</v>
      </c>
      <c r="E112" s="34" t="s">
        <v>13</v>
      </c>
      <c r="F112" s="37">
        <f>143*0.03</f>
        <v>4.29</v>
      </c>
      <c r="G112" s="37"/>
      <c r="H112" s="37"/>
      <c r="I112" s="37">
        <v>6700</v>
      </c>
      <c r="J112" s="37"/>
      <c r="K112" s="44">
        <f>F112*C112*I112</f>
        <v>33054.449999999997</v>
      </c>
      <c r="L112" s="44">
        <f t="shared" ref="L112:L116" si="35">J112+K112</f>
        <v>33054.449999999997</v>
      </c>
    </row>
    <row r="113" spans="1:12">
      <c r="A113" s="121"/>
      <c r="B113" s="97"/>
      <c r="C113" s="34">
        <v>1.1499999999999999</v>
      </c>
      <c r="D113" s="34" t="s">
        <v>122</v>
      </c>
      <c r="E113" s="34" t="s">
        <v>13</v>
      </c>
      <c r="F113" s="37">
        <f>0.05*0.05/0.6*146</f>
        <v>0.6083333333333335</v>
      </c>
      <c r="G113" s="37"/>
      <c r="H113" s="37"/>
      <c r="I113" s="37">
        <v>6700</v>
      </c>
      <c r="J113" s="37"/>
      <c r="K113" s="44">
        <f t="shared" ref="K113:K115" si="36">F113*C113*I113</f>
        <v>4687.2083333333339</v>
      </c>
      <c r="L113" s="44">
        <f t="shared" si="35"/>
        <v>4687.2083333333339</v>
      </c>
    </row>
    <row r="114" spans="1:12" ht="30">
      <c r="A114" s="121"/>
      <c r="B114" s="97"/>
      <c r="C114" s="34">
        <v>1.1499999999999999</v>
      </c>
      <c r="D114" s="34" t="s">
        <v>123</v>
      </c>
      <c r="E114" s="34" t="s">
        <v>125</v>
      </c>
      <c r="F114" s="37">
        <v>5</v>
      </c>
      <c r="G114" s="37"/>
      <c r="H114" s="37"/>
      <c r="I114" s="37">
        <v>1278</v>
      </c>
      <c r="J114" s="37"/>
      <c r="K114" s="44">
        <f>F114*C114*I114</f>
        <v>7348.5</v>
      </c>
      <c r="L114" s="44">
        <f t="shared" si="35"/>
        <v>7348.5</v>
      </c>
    </row>
    <row r="115" spans="1:12">
      <c r="A115" s="121"/>
      <c r="B115" s="97"/>
      <c r="C115" s="34">
        <v>1.1499999999999999</v>
      </c>
      <c r="D115" s="34" t="s">
        <v>124</v>
      </c>
      <c r="E115" s="34" t="s">
        <v>13</v>
      </c>
      <c r="F115" s="37">
        <f>1/0.6*0.1*0.15*143</f>
        <v>3.5750000000000002</v>
      </c>
      <c r="G115" s="37"/>
      <c r="H115" s="37"/>
      <c r="I115" s="37">
        <v>6700</v>
      </c>
      <c r="J115" s="37"/>
      <c r="K115" s="44">
        <f t="shared" si="36"/>
        <v>27545.375</v>
      </c>
      <c r="L115" s="44">
        <f t="shared" si="35"/>
        <v>27545.375</v>
      </c>
    </row>
    <row r="116" spans="1:12">
      <c r="A116" s="121"/>
      <c r="B116" s="97"/>
      <c r="C116" s="34">
        <v>1.1499999999999999</v>
      </c>
      <c r="D116" s="34" t="s">
        <v>126</v>
      </c>
      <c r="E116" s="34" t="s">
        <v>100</v>
      </c>
      <c r="F116" s="37">
        <f>4*7.2</f>
        <v>28.8</v>
      </c>
      <c r="G116" s="37"/>
      <c r="H116" s="37"/>
      <c r="I116" s="37">
        <f>24*36.8</f>
        <v>883.19999999999993</v>
      </c>
      <c r="J116" s="37"/>
      <c r="K116" s="44">
        <f>F116*C116*I116</f>
        <v>29251.583999999995</v>
      </c>
      <c r="L116" s="44">
        <f t="shared" si="35"/>
        <v>29251.583999999995</v>
      </c>
    </row>
    <row r="117" spans="1:12">
      <c r="A117" s="125"/>
      <c r="B117" s="97" t="s">
        <v>127</v>
      </c>
      <c r="C117" s="34">
        <v>1.1499999999999999</v>
      </c>
      <c r="D117" s="34"/>
      <c r="E117" s="34" t="s">
        <v>116</v>
      </c>
      <c r="F117" s="37">
        <v>1</v>
      </c>
      <c r="G117" s="37"/>
      <c r="H117" s="37">
        <v>20000</v>
      </c>
      <c r="I117" s="37"/>
      <c r="J117" s="37">
        <f>F117*H117</f>
        <v>20000</v>
      </c>
      <c r="K117" s="44"/>
      <c r="L117" s="44">
        <f t="shared" ref="L117" si="37">J117+K117</f>
        <v>20000</v>
      </c>
    </row>
    <row r="118" spans="1:12">
      <c r="A118" s="59"/>
      <c r="B118" s="60"/>
      <c r="C118" s="60"/>
      <c r="D118" s="60"/>
      <c r="E118" s="60"/>
      <c r="F118" s="61"/>
      <c r="G118" s="61"/>
      <c r="H118" s="61"/>
      <c r="I118" s="61"/>
      <c r="J118" s="61"/>
      <c r="K118" s="53" t="s">
        <v>53</v>
      </c>
      <c r="L118" s="54">
        <f>SUM(L111:L117)</f>
        <v>234499.61733333336</v>
      </c>
    </row>
    <row r="119" spans="1:12">
      <c r="A119" s="10"/>
      <c r="B119" s="9" t="s">
        <v>235</v>
      </c>
      <c r="C119" s="9"/>
      <c r="D119" s="9"/>
      <c r="E119" s="9"/>
      <c r="F119" s="25"/>
      <c r="G119" s="25"/>
      <c r="H119" s="25"/>
      <c r="I119" s="25"/>
      <c r="J119" s="25"/>
      <c r="K119" s="41"/>
      <c r="L119" s="42"/>
    </row>
    <row r="120" spans="1:12">
      <c r="A120" s="37">
        <v>67</v>
      </c>
      <c r="B120" s="97" t="s">
        <v>128</v>
      </c>
      <c r="C120" s="34">
        <v>1</v>
      </c>
      <c r="D120" s="34"/>
      <c r="E120" s="34" t="s">
        <v>12</v>
      </c>
      <c r="F120" s="37">
        <f>(0.7*0.7*6)+(1.9*0.7*13)+(2.1*2.35)</f>
        <v>25.164999999999999</v>
      </c>
      <c r="G120" s="37"/>
      <c r="H120" s="37">
        <v>1200</v>
      </c>
      <c r="I120" s="37">
        <v>3500</v>
      </c>
      <c r="J120" s="37">
        <f>17*H120</f>
        <v>20400</v>
      </c>
      <c r="K120" s="44">
        <f>F120*C120*I120</f>
        <v>88077.5</v>
      </c>
      <c r="L120" s="44">
        <f t="shared" ref="L120" si="38">J120+K120</f>
        <v>108477.5</v>
      </c>
    </row>
    <row r="121" spans="1:12">
      <c r="A121" s="37">
        <v>68</v>
      </c>
      <c r="B121" s="97" t="s">
        <v>129</v>
      </c>
      <c r="C121" s="34">
        <v>1</v>
      </c>
      <c r="D121" s="34"/>
      <c r="E121" s="34" t="s">
        <v>38</v>
      </c>
      <c r="F121" s="37">
        <v>3</v>
      </c>
      <c r="G121" s="37"/>
      <c r="H121" s="37">
        <v>2200</v>
      </c>
      <c r="I121" s="37">
        <v>60000</v>
      </c>
      <c r="J121" s="37">
        <f>17*H121</f>
        <v>37400</v>
      </c>
      <c r="K121" s="44">
        <f>F121*C121*I121</f>
        <v>180000</v>
      </c>
      <c r="L121" s="44">
        <f t="shared" ref="L121" si="39">J121+K121</f>
        <v>217400</v>
      </c>
    </row>
    <row r="122" spans="1:12">
      <c r="A122" s="37">
        <v>69</v>
      </c>
      <c r="B122" s="97" t="s">
        <v>130</v>
      </c>
      <c r="C122" s="34">
        <v>1</v>
      </c>
      <c r="D122" s="34"/>
      <c r="E122" s="34" t="s">
        <v>38</v>
      </c>
      <c r="F122" s="37">
        <v>2</v>
      </c>
      <c r="G122" s="37"/>
      <c r="H122" s="37">
        <v>1200</v>
      </c>
      <c r="I122" s="37">
        <v>15000</v>
      </c>
      <c r="J122" s="37">
        <f>17*H122</f>
        <v>20400</v>
      </c>
      <c r="K122" s="44"/>
      <c r="L122" s="44">
        <f t="shared" ref="L122" si="40">J122+K122</f>
        <v>20400</v>
      </c>
    </row>
    <row r="123" spans="1:12">
      <c r="A123" s="37">
        <v>70</v>
      </c>
      <c r="B123" s="97" t="s">
        <v>131</v>
      </c>
      <c r="C123" s="34">
        <v>1</v>
      </c>
      <c r="D123" s="34"/>
      <c r="E123" s="34" t="s">
        <v>38</v>
      </c>
      <c r="F123" s="37">
        <v>1</v>
      </c>
      <c r="G123" s="37"/>
      <c r="H123" s="37">
        <v>900</v>
      </c>
      <c r="I123" s="37">
        <v>7350</v>
      </c>
      <c r="J123" s="37">
        <f>17*H123</f>
        <v>15300</v>
      </c>
      <c r="K123" s="44"/>
      <c r="L123" s="44">
        <f t="shared" ref="L123" si="41">J123+K123</f>
        <v>15300</v>
      </c>
    </row>
    <row r="124" spans="1:12" ht="30">
      <c r="A124" s="16"/>
      <c r="B124" s="17" t="s">
        <v>236</v>
      </c>
      <c r="C124" s="17"/>
      <c r="D124" s="17"/>
      <c r="E124" s="17"/>
      <c r="F124" s="28"/>
      <c r="G124" s="28"/>
      <c r="H124" s="28"/>
      <c r="I124" s="28"/>
      <c r="J124" s="28"/>
      <c r="K124" s="44" t="s">
        <v>53</v>
      </c>
      <c r="L124" s="44">
        <f>SUM(L120:L123)</f>
        <v>361577.5</v>
      </c>
    </row>
    <row r="125" spans="1:12">
      <c r="A125" s="10"/>
      <c r="B125" s="9" t="s">
        <v>228</v>
      </c>
      <c r="C125" s="9"/>
      <c r="D125" s="9"/>
      <c r="E125" s="9"/>
      <c r="F125" s="25"/>
      <c r="G125" s="25"/>
      <c r="H125" s="25"/>
      <c r="I125" s="25"/>
      <c r="J125" s="25"/>
      <c r="K125" s="41"/>
      <c r="L125" s="42"/>
    </row>
    <row r="126" spans="1:12" ht="30">
      <c r="A126" s="67">
        <v>71</v>
      </c>
      <c r="B126" s="97" t="s">
        <v>229</v>
      </c>
      <c r="C126" s="65">
        <v>1</v>
      </c>
      <c r="D126" s="65"/>
      <c r="E126" s="65" t="s">
        <v>12</v>
      </c>
      <c r="F126" s="67">
        <f>85.12+130.68+164.83</f>
        <v>380.63</v>
      </c>
      <c r="G126" s="67"/>
      <c r="H126" s="67">
        <v>290</v>
      </c>
      <c r="I126" s="67">
        <f>2200*0.022</f>
        <v>48.4</v>
      </c>
      <c r="J126" s="67">
        <f>F126*H126</f>
        <v>110382.7</v>
      </c>
      <c r="K126" s="44">
        <f>I126*F126</f>
        <v>18422.491999999998</v>
      </c>
      <c r="L126" s="44">
        <f t="shared" ref="L126:L128" si="42">J126+K126</f>
        <v>128805.192</v>
      </c>
    </row>
    <row r="127" spans="1:12">
      <c r="A127" s="86">
        <v>72</v>
      </c>
      <c r="B127" s="17" t="s">
        <v>230</v>
      </c>
      <c r="C127" s="65">
        <v>1.1499999999999999</v>
      </c>
      <c r="D127" s="65"/>
      <c r="E127" s="65" t="s">
        <v>100</v>
      </c>
      <c r="F127" s="67">
        <v>74</v>
      </c>
      <c r="G127" s="67"/>
      <c r="H127" s="67">
        <v>390</v>
      </c>
      <c r="I127" s="67"/>
      <c r="J127" s="67">
        <f t="shared" ref="J127:J128" si="43">H127*F127</f>
        <v>28860</v>
      </c>
      <c r="K127" s="44">
        <f t="shared" ref="K127:K128" si="44">F127*I127*C127</f>
        <v>0</v>
      </c>
      <c r="L127" s="93">
        <f t="shared" si="42"/>
        <v>28860</v>
      </c>
    </row>
    <row r="128" spans="1:12">
      <c r="A128" s="86"/>
      <c r="B128" s="17" t="s">
        <v>231</v>
      </c>
      <c r="C128" s="66">
        <v>1.1499999999999999</v>
      </c>
      <c r="D128" s="66"/>
      <c r="E128" s="66" t="s">
        <v>100</v>
      </c>
      <c r="F128" s="62">
        <v>30.2</v>
      </c>
      <c r="G128" s="62"/>
      <c r="H128" s="62">
        <v>390</v>
      </c>
      <c r="I128" s="62"/>
      <c r="J128" s="62">
        <f t="shared" si="43"/>
        <v>11778</v>
      </c>
      <c r="K128" s="40">
        <f t="shared" si="44"/>
        <v>0</v>
      </c>
      <c r="L128" s="94">
        <f t="shared" si="42"/>
        <v>11778</v>
      </c>
    </row>
    <row r="129" spans="1:13">
      <c r="A129" s="86"/>
      <c r="B129" s="17"/>
      <c r="C129" s="60"/>
      <c r="D129" s="60"/>
      <c r="E129" s="60"/>
      <c r="F129" s="61"/>
      <c r="G129" s="61"/>
      <c r="H129" s="61"/>
      <c r="I129" s="86"/>
      <c r="J129" s="61"/>
      <c r="K129" s="44" t="s">
        <v>53</v>
      </c>
      <c r="L129" s="44">
        <f>SUM(L126:L128)</f>
        <v>169443.19199999998</v>
      </c>
    </row>
    <row r="130" spans="1:13">
      <c r="A130" s="16"/>
      <c r="B130" s="17"/>
      <c r="C130" s="17"/>
      <c r="D130" s="17"/>
      <c r="E130" s="17"/>
      <c r="F130" s="28"/>
      <c r="G130" s="28"/>
      <c r="H130" s="28"/>
      <c r="I130" s="2"/>
      <c r="J130" s="28" t="s">
        <v>238</v>
      </c>
      <c r="K130" s="89" t="s">
        <v>132</v>
      </c>
      <c r="L130" s="90">
        <f>L129+L124+L118+L109+L100+L91+L75+L53</f>
        <v>3058651.4360429486</v>
      </c>
      <c r="M130" s="117">
        <f>L130/148</f>
        <v>20666.563757046952</v>
      </c>
    </row>
    <row r="131" spans="1:13">
      <c r="A131" s="10"/>
      <c r="B131" s="9" t="s">
        <v>237</v>
      </c>
      <c r="C131" s="9"/>
      <c r="D131" s="9"/>
      <c r="E131" s="9"/>
      <c r="F131" s="25"/>
      <c r="G131" s="25"/>
      <c r="H131" s="25"/>
      <c r="I131" s="25"/>
      <c r="J131" s="25"/>
      <c r="K131" s="41"/>
      <c r="L131" s="42"/>
    </row>
    <row r="132" spans="1:13">
      <c r="A132" s="86">
        <v>73</v>
      </c>
      <c r="B132" s="97" t="s">
        <v>240</v>
      </c>
      <c r="C132" s="87">
        <v>1.1499999999999999</v>
      </c>
      <c r="D132" s="91" t="s">
        <v>251</v>
      </c>
      <c r="E132" s="87" t="s">
        <v>12</v>
      </c>
      <c r="F132" s="86">
        <v>144</v>
      </c>
      <c r="G132" s="86">
        <f>8*195</f>
        <v>1560</v>
      </c>
      <c r="H132" s="86">
        <v>100</v>
      </c>
      <c r="I132" s="86"/>
      <c r="J132" s="86">
        <f>F132*H132</f>
        <v>14400</v>
      </c>
      <c r="K132" s="44">
        <f>G132</f>
        <v>1560</v>
      </c>
      <c r="L132" s="44">
        <f t="shared" ref="L132" si="45">J132+K132</f>
        <v>15960</v>
      </c>
    </row>
    <row r="133" spans="1:13">
      <c r="A133" s="86">
        <v>74</v>
      </c>
      <c r="B133" s="97" t="s">
        <v>239</v>
      </c>
      <c r="C133" s="87">
        <v>1.1499999999999999</v>
      </c>
      <c r="D133" s="91" t="s">
        <v>251</v>
      </c>
      <c r="E133" s="87" t="s">
        <v>100</v>
      </c>
      <c r="F133" s="86">
        <v>102</v>
      </c>
      <c r="G133" s="92">
        <f>1*195</f>
        <v>195</v>
      </c>
      <c r="H133" s="86">
        <v>50</v>
      </c>
      <c r="I133" s="86"/>
      <c r="J133" s="86">
        <f t="shared" ref="J133:J143" si="46">F133*H133</f>
        <v>5100</v>
      </c>
      <c r="K133" s="44">
        <f t="shared" ref="K133:K143" si="47">I133*F133</f>
        <v>0</v>
      </c>
      <c r="L133" s="44">
        <f t="shared" ref="L133:L143" si="48">J133+K133</f>
        <v>5100</v>
      </c>
    </row>
    <row r="134" spans="1:13" ht="45">
      <c r="A134" s="86">
        <v>75</v>
      </c>
      <c r="B134" s="97" t="s">
        <v>241</v>
      </c>
      <c r="C134" s="87">
        <v>1.1499999999999999</v>
      </c>
      <c r="D134" s="91" t="s">
        <v>252</v>
      </c>
      <c r="E134" s="87" t="s">
        <v>12</v>
      </c>
      <c r="F134" s="86">
        <v>144</v>
      </c>
      <c r="G134" s="86"/>
      <c r="H134" s="86">
        <v>340</v>
      </c>
      <c r="I134" s="92">
        <v>10</v>
      </c>
      <c r="J134" s="86">
        <f t="shared" si="46"/>
        <v>48960</v>
      </c>
      <c r="K134" s="44">
        <f>I134*F134</f>
        <v>1440</v>
      </c>
      <c r="L134" s="44">
        <f t="shared" si="48"/>
        <v>50400</v>
      </c>
    </row>
    <row r="135" spans="1:13" ht="30">
      <c r="A135" s="86">
        <v>76</v>
      </c>
      <c r="B135" s="97" t="s">
        <v>242</v>
      </c>
      <c r="C135" s="87">
        <v>1.1499999999999999</v>
      </c>
      <c r="D135" s="91" t="s">
        <v>253</v>
      </c>
      <c r="E135" s="87" t="s">
        <v>100</v>
      </c>
      <c r="F135" s="86">
        <v>102</v>
      </c>
      <c r="G135" s="86"/>
      <c r="H135" s="86">
        <v>180</v>
      </c>
      <c r="I135" s="92">
        <v>6</v>
      </c>
      <c r="J135" s="86">
        <f t="shared" si="46"/>
        <v>18360</v>
      </c>
      <c r="K135" s="44">
        <f>I135*F135</f>
        <v>612</v>
      </c>
      <c r="L135" s="44">
        <f t="shared" si="48"/>
        <v>18972</v>
      </c>
    </row>
    <row r="136" spans="1:13" ht="30">
      <c r="A136" s="86">
        <v>77</v>
      </c>
      <c r="B136" s="97" t="s">
        <v>243</v>
      </c>
      <c r="C136" s="87">
        <v>1.1499999999999999</v>
      </c>
      <c r="D136" s="91" t="s">
        <v>253</v>
      </c>
      <c r="E136" s="87" t="s">
        <v>12</v>
      </c>
      <c r="F136" s="86">
        <v>144</v>
      </c>
      <c r="G136" s="86"/>
      <c r="H136" s="86">
        <v>180</v>
      </c>
      <c r="I136" s="86">
        <v>2</v>
      </c>
      <c r="J136" s="86">
        <f t="shared" si="46"/>
        <v>25920</v>
      </c>
      <c r="K136" s="44">
        <f t="shared" si="47"/>
        <v>288</v>
      </c>
      <c r="L136" s="44">
        <f t="shared" si="48"/>
        <v>26208</v>
      </c>
    </row>
    <row r="137" spans="1:13">
      <c r="A137" s="86">
        <v>78</v>
      </c>
      <c r="B137" s="97" t="s">
        <v>244</v>
      </c>
      <c r="C137" s="87">
        <v>1.1499999999999999</v>
      </c>
      <c r="D137" s="91" t="s">
        <v>254</v>
      </c>
      <c r="E137" s="87" t="s">
        <v>12</v>
      </c>
      <c r="F137" s="86">
        <v>17</v>
      </c>
      <c r="G137" s="86"/>
      <c r="H137" s="86">
        <v>400</v>
      </c>
      <c r="I137" s="86">
        <f>155*10</f>
        <v>1550</v>
      </c>
      <c r="J137" s="86">
        <f t="shared" si="46"/>
        <v>6800</v>
      </c>
      <c r="K137" s="44">
        <f>I137*F137</f>
        <v>26350</v>
      </c>
      <c r="L137" s="44">
        <f t="shared" si="48"/>
        <v>33150</v>
      </c>
    </row>
    <row r="138" spans="1:13" ht="30">
      <c r="A138" s="86">
        <v>79</v>
      </c>
      <c r="B138" s="97" t="s">
        <v>245</v>
      </c>
      <c r="C138" s="87">
        <v>1.1499999999999999</v>
      </c>
      <c r="D138" s="91" t="s">
        <v>255</v>
      </c>
      <c r="E138" s="87" t="s">
        <v>12</v>
      </c>
      <c r="F138" s="86">
        <f>((1.4+1.2)*2+(2*1.7)*2+(3.4+1.7)*2+(3.6*3.6)*0.5)*2.5-6</f>
        <v>65.7</v>
      </c>
      <c r="G138" s="86"/>
      <c r="H138" s="86">
        <f>715</f>
        <v>715</v>
      </c>
      <c r="I138" s="86">
        <f>520</f>
        <v>520</v>
      </c>
      <c r="J138" s="86">
        <f t="shared" si="46"/>
        <v>46975.5</v>
      </c>
      <c r="K138" s="44">
        <f t="shared" si="47"/>
        <v>34164</v>
      </c>
      <c r="L138" s="44">
        <f t="shared" si="48"/>
        <v>81139.5</v>
      </c>
    </row>
    <row r="139" spans="1:13">
      <c r="A139" s="86"/>
      <c r="B139" s="97" t="s">
        <v>249</v>
      </c>
      <c r="C139" s="87">
        <v>1.1499999999999999</v>
      </c>
      <c r="D139" s="87"/>
      <c r="E139" s="87" t="s">
        <v>12</v>
      </c>
      <c r="F139" s="86">
        <f>15.2+9.8+5.64+3.54+2.01+5.53+3.77+2+1.63+10.24+23.8+2.9</f>
        <v>86.060000000000016</v>
      </c>
      <c r="G139" s="86"/>
      <c r="H139" s="86">
        <v>600</v>
      </c>
      <c r="I139" s="86">
        <v>400</v>
      </c>
      <c r="J139" s="86">
        <f t="shared" si="46"/>
        <v>51636.000000000007</v>
      </c>
      <c r="K139" s="44">
        <f t="shared" si="47"/>
        <v>34424.000000000007</v>
      </c>
      <c r="L139" s="44">
        <f t="shared" si="48"/>
        <v>86060.000000000015</v>
      </c>
    </row>
    <row r="140" spans="1:13">
      <c r="A140" s="86">
        <v>80</v>
      </c>
      <c r="B140" s="97" t="s">
        <v>246</v>
      </c>
      <c r="C140" s="87">
        <v>1.1499999999999999</v>
      </c>
      <c r="D140" s="87"/>
      <c r="E140" s="87" t="s">
        <v>12</v>
      </c>
      <c r="F140" s="92">
        <f>((1.4+1.2)*2+(2*1.7)*2+(3.4+1.7)*2+(3.6*3.6)*0.5)*2.5-6</f>
        <v>65.7</v>
      </c>
      <c r="G140" s="86"/>
      <c r="H140" s="86">
        <v>145</v>
      </c>
      <c r="I140" s="86">
        <v>2</v>
      </c>
      <c r="J140" s="86">
        <f t="shared" si="46"/>
        <v>9526.5</v>
      </c>
      <c r="K140" s="44">
        <f>I140*F140</f>
        <v>131.4</v>
      </c>
      <c r="L140" s="44">
        <f t="shared" si="48"/>
        <v>9657.9</v>
      </c>
    </row>
    <row r="141" spans="1:13" ht="30">
      <c r="A141" s="86">
        <v>81</v>
      </c>
      <c r="B141" s="97" t="s">
        <v>250</v>
      </c>
      <c r="C141" s="87">
        <v>1.1499999999999999</v>
      </c>
      <c r="D141" s="91" t="s">
        <v>256</v>
      </c>
      <c r="E141" s="87" t="s">
        <v>12</v>
      </c>
      <c r="F141" s="86">
        <f>62.6+66.3</f>
        <v>128.9</v>
      </c>
      <c r="G141" s="86"/>
      <c r="H141" s="86">
        <v>260</v>
      </c>
      <c r="I141" s="86">
        <v>215</v>
      </c>
      <c r="J141" s="86">
        <f>F141*H141</f>
        <v>33514</v>
      </c>
      <c r="K141" s="44">
        <f>215*38</f>
        <v>8170</v>
      </c>
      <c r="L141" s="44">
        <f t="shared" si="48"/>
        <v>41684</v>
      </c>
    </row>
    <row r="142" spans="1:13" ht="45">
      <c r="A142" s="86">
        <v>82</v>
      </c>
      <c r="B142" s="97" t="s">
        <v>247</v>
      </c>
      <c r="C142" s="87">
        <v>1.1499999999999999</v>
      </c>
      <c r="D142" s="91" t="s">
        <v>257</v>
      </c>
      <c r="E142" s="87" t="s">
        <v>12</v>
      </c>
      <c r="F142" s="86">
        <f>14.41+11.7+23.8+8.23+11.83</f>
        <v>69.97</v>
      </c>
      <c r="G142" s="86"/>
      <c r="H142" s="86">
        <v>650</v>
      </c>
      <c r="I142" s="86">
        <v>350</v>
      </c>
      <c r="J142" s="86">
        <f t="shared" si="46"/>
        <v>45480.5</v>
      </c>
      <c r="K142" s="44">
        <f t="shared" si="47"/>
        <v>24489.5</v>
      </c>
      <c r="L142" s="44">
        <f t="shared" si="48"/>
        <v>69970</v>
      </c>
    </row>
    <row r="143" spans="1:13" ht="45">
      <c r="A143" s="86">
        <v>83</v>
      </c>
      <c r="B143" s="97" t="s">
        <v>248</v>
      </c>
      <c r="C143" s="87">
        <v>1.1499999999999999</v>
      </c>
      <c r="D143" s="91" t="s">
        <v>258</v>
      </c>
      <c r="E143" s="87" t="s">
        <v>12</v>
      </c>
      <c r="F143" s="86">
        <v>139.21</v>
      </c>
      <c r="G143" s="86"/>
      <c r="H143" s="86">
        <v>380</v>
      </c>
      <c r="I143" s="86">
        <v>10</v>
      </c>
      <c r="J143" s="86">
        <f t="shared" si="46"/>
        <v>52899.8</v>
      </c>
      <c r="K143" s="44">
        <f t="shared" si="47"/>
        <v>1392.1000000000001</v>
      </c>
      <c r="L143" s="44">
        <f t="shared" si="48"/>
        <v>54291.9</v>
      </c>
    </row>
    <row r="144" spans="1:13">
      <c r="K144" s="44" t="s">
        <v>53</v>
      </c>
      <c r="L144" s="44">
        <f>SUM(L132:L143)</f>
        <v>492593.30000000005</v>
      </c>
    </row>
    <row r="145" spans="1:12">
      <c r="A145" s="99"/>
      <c r="B145" s="104" t="s">
        <v>259</v>
      </c>
      <c r="C145" s="9"/>
      <c r="D145" s="9"/>
      <c r="E145" s="9"/>
      <c r="F145" s="25"/>
      <c r="G145" s="25"/>
      <c r="H145" s="25"/>
      <c r="I145" s="25"/>
      <c r="J145" s="25"/>
      <c r="K145" s="41"/>
      <c r="L145" s="42"/>
    </row>
    <row r="146" spans="1:12" ht="30" customHeight="1">
      <c r="A146" s="120">
        <v>84</v>
      </c>
      <c r="B146" s="119" t="s">
        <v>260</v>
      </c>
      <c r="C146" s="97">
        <v>1.1499999999999999</v>
      </c>
      <c r="D146" s="97"/>
      <c r="E146" s="97" t="s">
        <v>12</v>
      </c>
      <c r="F146" s="95">
        <v>139.21</v>
      </c>
      <c r="G146" s="95"/>
      <c r="H146" s="95">
        <v>380</v>
      </c>
      <c r="I146" s="95">
        <v>10</v>
      </c>
      <c r="J146" s="95">
        <f t="shared" ref="J146" si="49">F146*H146</f>
        <v>52899.8</v>
      </c>
      <c r="K146" s="44">
        <f t="shared" ref="K146" si="50">I146*F146</f>
        <v>1392.1000000000001</v>
      </c>
      <c r="L146" s="44">
        <f t="shared" ref="L146" si="51">J146+K146</f>
        <v>54291.9</v>
      </c>
    </row>
    <row r="147" spans="1:12" ht="30">
      <c r="A147" s="121"/>
      <c r="B147" s="123"/>
      <c r="C147" s="97">
        <v>1.1499999999999999</v>
      </c>
      <c r="D147" s="97" t="s">
        <v>76</v>
      </c>
      <c r="E147" s="97" t="s">
        <v>47</v>
      </c>
      <c r="F147" s="95">
        <v>121.9</v>
      </c>
      <c r="G147" s="95"/>
      <c r="H147" s="95"/>
      <c r="I147" s="95">
        <v>50</v>
      </c>
      <c r="J147" s="95"/>
      <c r="K147" s="44">
        <f t="shared" ref="K147:K150" si="52">I147*F147</f>
        <v>6095</v>
      </c>
      <c r="L147" s="44">
        <f t="shared" ref="L147:L149" si="53">J147+K147</f>
        <v>6095</v>
      </c>
    </row>
    <row r="148" spans="1:12" ht="30">
      <c r="A148" s="125"/>
      <c r="B148" s="124"/>
      <c r="C148" s="97">
        <v>1.1499999999999999</v>
      </c>
      <c r="D148" s="97" t="s">
        <v>261</v>
      </c>
      <c r="E148" s="97" t="s">
        <v>47</v>
      </c>
      <c r="F148" s="95">
        <v>115</v>
      </c>
      <c r="G148" s="95"/>
      <c r="H148" s="95"/>
      <c r="I148" s="95">
        <v>38</v>
      </c>
      <c r="J148" s="95"/>
      <c r="K148" s="44">
        <f t="shared" si="52"/>
        <v>4370</v>
      </c>
      <c r="L148" s="44">
        <f t="shared" si="53"/>
        <v>4370</v>
      </c>
    </row>
    <row r="149" spans="1:12" ht="45">
      <c r="A149" s="95">
        <v>85</v>
      </c>
      <c r="B149" s="97" t="s">
        <v>260</v>
      </c>
      <c r="C149" s="97">
        <v>1.1499999999999999</v>
      </c>
      <c r="D149" s="97" t="s">
        <v>262</v>
      </c>
      <c r="E149" s="97" t="s">
        <v>47</v>
      </c>
      <c r="F149" s="95">
        <v>139.21</v>
      </c>
      <c r="G149" s="95"/>
      <c r="H149" s="95">
        <v>250</v>
      </c>
      <c r="I149" s="95">
        <f>277/5</f>
        <v>55.4</v>
      </c>
      <c r="J149" s="95">
        <f t="shared" ref="J149" si="54">F149*H149</f>
        <v>34802.5</v>
      </c>
      <c r="K149" s="44">
        <f t="shared" si="52"/>
        <v>7712.2340000000004</v>
      </c>
      <c r="L149" s="44">
        <f t="shared" si="53"/>
        <v>42514.733999999997</v>
      </c>
    </row>
    <row r="150" spans="1:12" ht="30">
      <c r="A150" s="95">
        <v>86</v>
      </c>
      <c r="B150" s="105" t="s">
        <v>263</v>
      </c>
      <c r="C150" s="97">
        <v>1.1499999999999999</v>
      </c>
      <c r="D150" s="97" t="s">
        <v>265</v>
      </c>
      <c r="E150" s="97" t="s">
        <v>38</v>
      </c>
      <c r="F150" s="95">
        <v>22</v>
      </c>
      <c r="G150" s="95"/>
      <c r="H150" s="95">
        <v>250</v>
      </c>
      <c r="I150" s="95">
        <v>80</v>
      </c>
      <c r="J150" s="95">
        <f>F150*H150</f>
        <v>5500</v>
      </c>
      <c r="K150" s="44">
        <f t="shared" si="52"/>
        <v>1760</v>
      </c>
      <c r="L150" s="44">
        <f t="shared" ref="L150" si="55">J150+K150</f>
        <v>7260</v>
      </c>
    </row>
    <row r="151" spans="1:12">
      <c r="A151" s="95">
        <v>87</v>
      </c>
      <c r="B151" s="106" t="s">
        <v>264</v>
      </c>
      <c r="C151" s="97"/>
      <c r="D151" s="97"/>
      <c r="E151" s="97" t="s">
        <v>38</v>
      </c>
      <c r="F151" s="95">
        <v>1</v>
      </c>
      <c r="G151" s="95"/>
      <c r="H151" s="95">
        <v>1420</v>
      </c>
      <c r="I151" s="95">
        <v>7099</v>
      </c>
      <c r="J151" s="95">
        <f t="shared" ref="J151" si="56">F151*H151</f>
        <v>1420</v>
      </c>
      <c r="K151" s="44">
        <f t="shared" ref="K151" si="57">I151*F151</f>
        <v>7099</v>
      </c>
      <c r="L151" s="44">
        <f t="shared" ref="L151" si="58">J151+K151</f>
        <v>8519</v>
      </c>
    </row>
    <row r="152" spans="1:12">
      <c r="K152" s="44" t="s">
        <v>53</v>
      </c>
      <c r="L152" s="44">
        <f>SUM(L146:L151)</f>
        <v>123050.63399999999</v>
      </c>
    </row>
    <row r="153" spans="1:12" ht="30">
      <c r="A153" s="99"/>
      <c r="B153" s="104" t="s">
        <v>266</v>
      </c>
      <c r="C153" s="104"/>
      <c r="D153" s="104"/>
      <c r="E153" s="104"/>
      <c r="F153" s="100"/>
      <c r="G153" s="100"/>
      <c r="H153" s="100"/>
      <c r="I153" s="100"/>
      <c r="J153" s="100"/>
      <c r="K153" s="107"/>
      <c r="L153" s="108"/>
    </row>
    <row r="154" spans="1:12">
      <c r="A154" s="95">
        <v>88</v>
      </c>
      <c r="B154" s="97" t="s">
        <v>267</v>
      </c>
      <c r="C154" s="97"/>
      <c r="D154" s="97"/>
      <c r="E154" s="97" t="s">
        <v>47</v>
      </c>
      <c r="F154" s="95">
        <v>12</v>
      </c>
      <c r="G154" s="95"/>
      <c r="H154" s="95">
        <v>200</v>
      </c>
      <c r="I154" s="95">
        <v>283</v>
      </c>
      <c r="J154" s="95">
        <f>F154*H154</f>
        <v>2400</v>
      </c>
      <c r="K154" s="44">
        <f t="shared" ref="K154:K156" si="59">I154*F154</f>
        <v>3396</v>
      </c>
      <c r="L154" s="44">
        <f t="shared" ref="L154" si="60">J154+K154</f>
        <v>5796</v>
      </c>
    </row>
    <row r="155" spans="1:12">
      <c r="A155" s="95">
        <v>89</v>
      </c>
      <c r="B155" s="97" t="s">
        <v>268</v>
      </c>
      <c r="C155" s="97"/>
      <c r="D155" s="97"/>
      <c r="E155" s="97" t="s">
        <v>38</v>
      </c>
      <c r="F155" s="95">
        <v>9</v>
      </c>
      <c r="G155" s="95"/>
      <c r="H155" s="95">
        <v>2300</v>
      </c>
      <c r="I155" s="95"/>
      <c r="J155" s="95">
        <f>F155*H155</f>
        <v>20700</v>
      </c>
      <c r="K155" s="44"/>
      <c r="L155" s="44">
        <f t="shared" ref="L155" si="61">J155+K155</f>
        <v>20700</v>
      </c>
    </row>
    <row r="156" spans="1:12">
      <c r="A156" s="96">
        <v>90</v>
      </c>
      <c r="B156" s="98" t="s">
        <v>269</v>
      </c>
      <c r="C156" s="98"/>
      <c r="D156" s="98"/>
      <c r="E156" s="98" t="s">
        <v>47</v>
      </c>
      <c r="F156" s="96">
        <v>32</v>
      </c>
      <c r="G156" s="96"/>
      <c r="H156" s="96">
        <v>200</v>
      </c>
      <c r="I156" s="96">
        <v>120</v>
      </c>
      <c r="J156" s="96">
        <f>F156*H156</f>
        <v>6400</v>
      </c>
      <c r="K156" s="44">
        <f t="shared" si="59"/>
        <v>3840</v>
      </c>
      <c r="L156" s="44">
        <f t="shared" ref="L156" si="62">J156+K156</f>
        <v>10240</v>
      </c>
    </row>
    <row r="157" spans="1:12">
      <c r="A157" s="16"/>
      <c r="B157" s="17"/>
      <c r="C157" s="17"/>
      <c r="D157" s="17"/>
      <c r="E157" s="17"/>
      <c r="F157" s="28"/>
      <c r="G157" s="28"/>
      <c r="H157" s="28"/>
      <c r="I157" s="28"/>
      <c r="J157" s="112"/>
      <c r="K157" s="46" t="s">
        <v>53</v>
      </c>
      <c r="L157" s="44">
        <f>SUM(L154:L156)</f>
        <v>36736</v>
      </c>
    </row>
    <row r="158" spans="1:12">
      <c r="A158" s="110"/>
      <c r="B158" s="111" t="s">
        <v>270</v>
      </c>
      <c r="C158" s="111"/>
      <c r="D158" s="111"/>
      <c r="E158" s="111"/>
      <c r="F158" s="110"/>
      <c r="G158" s="110"/>
      <c r="H158" s="110"/>
      <c r="I158" s="110"/>
      <c r="J158" s="110"/>
      <c r="K158" s="52"/>
      <c r="L158" s="52"/>
    </row>
    <row r="159" spans="1:12" ht="30">
      <c r="A159" s="95">
        <v>91</v>
      </c>
      <c r="B159" s="97" t="s">
        <v>48</v>
      </c>
      <c r="C159" s="97">
        <v>1</v>
      </c>
      <c r="D159" s="97"/>
      <c r="E159" s="97" t="s">
        <v>12</v>
      </c>
      <c r="F159" s="95">
        <v>59.16</v>
      </c>
      <c r="G159" s="95">
        <v>9.77</v>
      </c>
      <c r="H159" s="95">
        <v>290</v>
      </c>
      <c r="I159" s="95"/>
      <c r="J159" s="95">
        <f>F159*H159</f>
        <v>17156.399999999998</v>
      </c>
      <c r="K159" s="44"/>
      <c r="L159" s="44">
        <f>J159+K159</f>
        <v>17156.399999999998</v>
      </c>
    </row>
    <row r="160" spans="1:12" ht="30">
      <c r="A160" s="95">
        <v>92</v>
      </c>
      <c r="B160" s="97" t="s">
        <v>62</v>
      </c>
      <c r="C160" s="97">
        <v>1.1499999999999999</v>
      </c>
      <c r="D160" s="97" t="s">
        <v>138</v>
      </c>
      <c r="E160" s="97" t="s">
        <v>47</v>
      </c>
      <c r="F160" s="95">
        <v>402</v>
      </c>
      <c r="G160" s="95"/>
      <c r="H160" s="95"/>
      <c r="I160" s="95">
        <v>24</v>
      </c>
      <c r="J160" s="95"/>
      <c r="K160" s="44">
        <f>F160*I160*C160</f>
        <v>11095.199999999999</v>
      </c>
      <c r="L160" s="44">
        <f>J160+K160</f>
        <v>11095.199999999999</v>
      </c>
    </row>
    <row r="161" spans="1:12">
      <c r="A161" s="95">
        <v>93</v>
      </c>
      <c r="B161" s="109" t="s">
        <v>271</v>
      </c>
      <c r="C161" s="97">
        <v>1</v>
      </c>
      <c r="D161" s="97"/>
      <c r="E161" s="97" t="s">
        <v>38</v>
      </c>
      <c r="F161" s="95">
        <v>1</v>
      </c>
      <c r="G161" s="95"/>
      <c r="H161" s="95">
        <v>3770</v>
      </c>
      <c r="I161" s="95">
        <v>1200</v>
      </c>
      <c r="J161" s="95">
        <f>F161*H161</f>
        <v>3770</v>
      </c>
      <c r="K161" s="44">
        <f t="shared" ref="K161" si="63">I161*F161</f>
        <v>1200</v>
      </c>
      <c r="L161" s="44">
        <f>J161+K161</f>
        <v>4970</v>
      </c>
    </row>
    <row r="162" spans="1:12">
      <c r="A162" s="95">
        <v>94</v>
      </c>
      <c r="B162" s="97" t="s">
        <v>272</v>
      </c>
      <c r="C162" s="97">
        <v>1</v>
      </c>
      <c r="D162" s="97"/>
      <c r="E162" s="97" t="s">
        <v>38</v>
      </c>
      <c r="F162" s="95">
        <v>1</v>
      </c>
      <c r="G162" s="95"/>
      <c r="H162" s="95">
        <v>2900</v>
      </c>
      <c r="I162" s="95">
        <v>1200</v>
      </c>
      <c r="J162" s="95">
        <f>F162*H162</f>
        <v>2900</v>
      </c>
      <c r="K162" s="44">
        <f t="shared" ref="K162" si="64">I162*F162</f>
        <v>1200</v>
      </c>
      <c r="L162" s="44">
        <f>J162+K162</f>
        <v>4100</v>
      </c>
    </row>
    <row r="163" spans="1:12">
      <c r="A163" s="95">
        <v>95</v>
      </c>
      <c r="B163" s="97" t="s">
        <v>273</v>
      </c>
      <c r="C163" s="97">
        <v>1</v>
      </c>
      <c r="D163" s="97"/>
      <c r="E163" s="97" t="s">
        <v>47</v>
      </c>
      <c r="F163" s="95">
        <f>114+(10*8)+20</f>
        <v>214</v>
      </c>
      <c r="G163" s="95"/>
      <c r="H163" s="95">
        <v>312</v>
      </c>
      <c r="I163" s="95">
        <v>250</v>
      </c>
      <c r="J163" s="95">
        <f>F163*H163</f>
        <v>66768</v>
      </c>
      <c r="K163" s="44">
        <f t="shared" ref="K163" si="65">I163*F163</f>
        <v>53500</v>
      </c>
      <c r="L163" s="44">
        <f>J163+K163</f>
        <v>120268</v>
      </c>
    </row>
    <row r="164" spans="1:12">
      <c r="K164" s="46" t="s">
        <v>53</v>
      </c>
      <c r="L164" s="44">
        <f>SUM(L161:L163)</f>
        <v>129338</v>
      </c>
    </row>
    <row r="166" spans="1:12">
      <c r="J166" s="115" t="s">
        <v>277</v>
      </c>
      <c r="K166" s="40" t="s">
        <v>2</v>
      </c>
      <c r="L166" s="128">
        <f>L130+L152+L157+L164</f>
        <v>3347776.0700429487</v>
      </c>
    </row>
    <row r="167" spans="1:12">
      <c r="K167" s="49" t="s">
        <v>274</v>
      </c>
      <c r="L167" s="116"/>
    </row>
    <row r="168" spans="1:12">
      <c r="K168" s="44" t="s">
        <v>275</v>
      </c>
      <c r="L168" s="44">
        <f>(L166/149)</f>
        <v>22468.295772100326</v>
      </c>
    </row>
    <row r="172" spans="1:12">
      <c r="K172" s="1"/>
      <c r="L172" s="1"/>
    </row>
    <row r="173" spans="1:12">
      <c r="K173" s="1"/>
      <c r="L173" s="1"/>
    </row>
    <row r="174" spans="1:12">
      <c r="K174" s="1"/>
      <c r="L174" s="1"/>
    </row>
    <row r="175" spans="1:12">
      <c r="K175" s="1"/>
      <c r="L175" s="1"/>
    </row>
    <row r="176" spans="1:12">
      <c r="K176" s="1"/>
      <c r="L176" s="1"/>
    </row>
    <row r="177" spans="11:12">
      <c r="K177" s="1"/>
      <c r="L177" s="1"/>
    </row>
    <row r="178" spans="11:12">
      <c r="K178" s="1"/>
      <c r="L178" s="1"/>
    </row>
    <row r="179" spans="11:12">
      <c r="K179" s="1"/>
      <c r="L179" s="1"/>
    </row>
    <row r="180" spans="11:12">
      <c r="K180" s="1"/>
      <c r="L180" s="1"/>
    </row>
    <row r="181" spans="11:12">
      <c r="K181" s="1"/>
      <c r="L181" s="1"/>
    </row>
  </sheetData>
  <mergeCells count="14">
    <mergeCell ref="B146:B148"/>
    <mergeCell ref="A146:A148"/>
    <mergeCell ref="A60:A62"/>
    <mergeCell ref="A63:A65"/>
    <mergeCell ref="A79:A81"/>
    <mergeCell ref="A77:A78"/>
    <mergeCell ref="A96:A97"/>
    <mergeCell ref="A111:A117"/>
    <mergeCell ref="A82:A84"/>
    <mergeCell ref="C23:C24"/>
    <mergeCell ref="G14:G18"/>
    <mergeCell ref="G23:G24"/>
    <mergeCell ref="A14:A18"/>
    <mergeCell ref="A23:A2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topLeftCell="A7" workbookViewId="0">
      <selection activeCell="G14" sqref="G14"/>
    </sheetView>
  </sheetViews>
  <sheetFormatPr defaultRowHeight="15"/>
  <cols>
    <col min="2" max="2" width="39.28515625" customWidth="1"/>
    <col min="3" max="3" width="33.140625" style="73" customWidth="1"/>
    <col min="4" max="4" width="12" customWidth="1"/>
    <col min="5" max="5" width="10.140625" customWidth="1"/>
  </cols>
  <sheetData>
    <row r="1" spans="1:12">
      <c r="A1" s="22"/>
      <c r="B1" s="22"/>
      <c r="C1" s="4"/>
      <c r="D1" s="22"/>
      <c r="E1" s="22"/>
      <c r="F1" s="22"/>
      <c r="G1" s="22"/>
      <c r="H1" s="22"/>
      <c r="I1" s="22"/>
      <c r="J1" s="22"/>
      <c r="K1" s="22"/>
      <c r="L1" s="22"/>
    </row>
    <row r="2" spans="1:12" ht="30">
      <c r="A2" s="22"/>
      <c r="B2" s="68"/>
      <c r="C2" s="4" t="s">
        <v>163</v>
      </c>
      <c r="D2" s="22" t="s">
        <v>164</v>
      </c>
      <c r="E2" s="22" t="s">
        <v>165</v>
      </c>
      <c r="F2" s="22" t="s">
        <v>167</v>
      </c>
      <c r="G2" s="22"/>
      <c r="H2" s="22"/>
      <c r="I2" s="22"/>
      <c r="J2" s="22"/>
      <c r="K2" s="22"/>
      <c r="L2" s="22"/>
    </row>
    <row r="3" spans="1:12" ht="45">
      <c r="A3" s="70"/>
      <c r="B3" s="68" t="s">
        <v>162</v>
      </c>
      <c r="C3" s="71" t="s">
        <v>171</v>
      </c>
      <c r="D3" s="70">
        <v>3.5999999999999999E-3</v>
      </c>
      <c r="E3" s="70" t="s">
        <v>166</v>
      </c>
      <c r="F3" s="70">
        <v>4305</v>
      </c>
      <c r="G3" s="70"/>
      <c r="H3" s="70"/>
      <c r="I3" s="70"/>
      <c r="J3" s="70"/>
      <c r="K3" s="70"/>
      <c r="L3" s="70"/>
    </row>
    <row r="4" spans="1:12" ht="30">
      <c r="A4" s="70"/>
      <c r="B4" s="70" t="s">
        <v>168</v>
      </c>
      <c r="C4" s="71"/>
      <c r="D4" s="70">
        <v>3.4000000000000002E-2</v>
      </c>
      <c r="E4" s="70" t="s">
        <v>169</v>
      </c>
      <c r="F4" s="70">
        <v>2600</v>
      </c>
      <c r="G4" s="70"/>
      <c r="H4" s="70"/>
      <c r="I4" s="70"/>
      <c r="J4" s="70"/>
      <c r="K4" s="70"/>
      <c r="L4" s="70"/>
    </row>
    <row r="5" spans="1:12">
      <c r="A5" s="70"/>
      <c r="B5" s="70" t="s">
        <v>156</v>
      </c>
      <c r="C5" s="72"/>
      <c r="D5" s="70">
        <v>3.6999999999999998E-2</v>
      </c>
      <c r="E5" s="70"/>
      <c r="F5" s="70">
        <v>1440</v>
      </c>
      <c r="G5" s="70"/>
      <c r="H5" s="70"/>
      <c r="I5" s="70"/>
      <c r="J5" s="70"/>
      <c r="K5" s="70"/>
      <c r="L5" s="70"/>
    </row>
    <row r="6" spans="1:12">
      <c r="B6" s="70" t="s">
        <v>157</v>
      </c>
    </row>
    <row r="7" spans="1:12">
      <c r="B7" s="70" t="s">
        <v>158</v>
      </c>
    </row>
    <row r="8" spans="1:12">
      <c r="B8" s="70" t="s">
        <v>159</v>
      </c>
    </row>
    <row r="9" spans="1:12">
      <c r="B9" s="70" t="s">
        <v>160</v>
      </c>
    </row>
    <row r="10" spans="1:12" ht="30">
      <c r="B10" s="70" t="s">
        <v>161</v>
      </c>
    </row>
    <row r="11" spans="1:12">
      <c r="B11" s="70" t="s">
        <v>170</v>
      </c>
    </row>
    <row r="12" spans="1:12" ht="45">
      <c r="B12" s="70" t="s">
        <v>172</v>
      </c>
      <c r="C12" s="69" t="s">
        <v>173</v>
      </c>
      <c r="E12" t="s">
        <v>174</v>
      </c>
      <c r="F12">
        <v>4120</v>
      </c>
    </row>
    <row r="13" spans="1:12" ht="30">
      <c r="B13" s="73" t="s">
        <v>175</v>
      </c>
      <c r="C13" s="69" t="s">
        <v>176</v>
      </c>
      <c r="E13" t="s">
        <v>174</v>
      </c>
      <c r="F13">
        <v>4638</v>
      </c>
    </row>
    <row r="14" spans="1:12" ht="135">
      <c r="B14" s="70" t="s">
        <v>178</v>
      </c>
      <c r="C14" s="69" t="s">
        <v>177</v>
      </c>
      <c r="F14">
        <v>2916</v>
      </c>
    </row>
    <row r="15" spans="1:12" ht="60">
      <c r="B15" s="70" t="s">
        <v>184</v>
      </c>
      <c r="C15" s="69" t="s">
        <v>183</v>
      </c>
      <c r="F15">
        <v>4973</v>
      </c>
      <c r="G15" t="s">
        <v>185</v>
      </c>
    </row>
  </sheetData>
  <hyperlinks>
    <hyperlink ref="C3" r:id="rId1"/>
    <hyperlink ref="C12" r:id="rId2"/>
    <hyperlink ref="C13" r:id="rId3"/>
    <hyperlink ref="C14" r:id="rId4"/>
    <hyperlink ref="C15" r:id="rId5"/>
  </hyperlinks>
  <pageMargins left="0.7" right="0.7" top="0.75" bottom="0.75" header="0.3" footer="0.3"/>
  <pageSetup paperSize="9" orientation="portrait" r:id="rId6"/>
</worksheet>
</file>

<file path=xl/worksheets/sheet3.xml><?xml version="1.0" encoding="utf-8"?>
<worksheet xmlns="http://schemas.openxmlformats.org/spreadsheetml/2006/main" xmlns:r="http://schemas.openxmlformats.org/officeDocument/2006/relationships">
  <dimension ref="B1:D1"/>
  <sheetViews>
    <sheetView workbookViewId="0">
      <selection activeCell="F3" sqref="F3"/>
    </sheetView>
  </sheetViews>
  <sheetFormatPr defaultRowHeight="15"/>
  <cols>
    <col min="2" max="2" width="18.5703125" customWidth="1"/>
    <col min="3" max="3" width="21.28515625" style="73" customWidth="1"/>
  </cols>
  <sheetData>
    <row r="1" spans="2:4" ht="45">
      <c r="B1" t="s">
        <v>182</v>
      </c>
      <c r="C1" s="69" t="s">
        <v>181</v>
      </c>
      <c r="D1">
        <v>930</v>
      </c>
    </row>
  </sheetData>
  <hyperlinks>
    <hyperlink ref="C1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topLeftCell="A25" workbookViewId="0">
      <selection activeCell="A23" sqref="A23"/>
    </sheetView>
  </sheetViews>
  <sheetFormatPr defaultRowHeight="15"/>
  <cols>
    <col min="1" max="1" width="105.28515625" customWidth="1"/>
  </cols>
  <sheetData>
    <row r="1" spans="1:5" ht="28.5" customHeight="1">
      <c r="A1" s="75" t="s">
        <v>187</v>
      </c>
    </row>
    <row r="2" spans="1:5" ht="59.25" customHeight="1" thickBot="1">
      <c r="A2" s="76" t="s">
        <v>188</v>
      </c>
    </row>
    <row r="3" spans="1:5" ht="62.25" customHeight="1" thickBot="1">
      <c r="A3" s="79" t="s">
        <v>189</v>
      </c>
      <c r="B3" s="79" t="s">
        <v>190</v>
      </c>
      <c r="C3" s="79" t="s">
        <v>191</v>
      </c>
      <c r="D3" s="79" t="s">
        <v>192</v>
      </c>
      <c r="E3" s="80" t="s">
        <v>193</v>
      </c>
    </row>
    <row r="4" spans="1:5" ht="15.75" thickBot="1">
      <c r="A4" s="77" t="s">
        <v>194</v>
      </c>
      <c r="B4" s="77">
        <v>110</v>
      </c>
      <c r="C4" s="77">
        <v>105</v>
      </c>
      <c r="D4" s="77">
        <v>84</v>
      </c>
      <c r="E4" s="81">
        <v>1190</v>
      </c>
    </row>
    <row r="5" spans="1:5" ht="15.75" thickBot="1">
      <c r="A5" s="77" t="s">
        <v>195</v>
      </c>
      <c r="B5" s="77">
        <v>104</v>
      </c>
      <c r="C5" s="77">
        <v>156</v>
      </c>
      <c r="D5" s="77">
        <v>92</v>
      </c>
      <c r="E5" s="81">
        <v>1189</v>
      </c>
    </row>
    <row r="6" spans="1:5" ht="15.75" thickBot="1">
      <c r="A6" s="77" t="s">
        <v>196</v>
      </c>
      <c r="B6" s="77">
        <v>139</v>
      </c>
      <c r="C6" s="77">
        <v>157</v>
      </c>
      <c r="D6" s="77">
        <v>79</v>
      </c>
      <c r="E6" s="81">
        <v>1254</v>
      </c>
    </row>
    <row r="7" spans="1:5" ht="15.75" thickBot="1">
      <c r="A7" s="77" t="s">
        <v>197</v>
      </c>
      <c r="B7" s="77">
        <v>118</v>
      </c>
      <c r="C7" s="77">
        <v>112</v>
      </c>
      <c r="D7" s="77">
        <v>64</v>
      </c>
      <c r="E7" s="81">
        <v>1086</v>
      </c>
    </row>
    <row r="8" spans="1:5" ht="15.75" thickBot="1">
      <c r="A8" s="77" t="s">
        <v>198</v>
      </c>
      <c r="B8" s="77">
        <v>97</v>
      </c>
      <c r="C8" s="77">
        <v>109</v>
      </c>
      <c r="D8" s="77">
        <v>68</v>
      </c>
      <c r="E8" s="81">
        <v>1156</v>
      </c>
    </row>
    <row r="9" spans="1:5" ht="15.75" thickBot="1">
      <c r="A9" s="77" t="s">
        <v>199</v>
      </c>
      <c r="B9" s="77">
        <v>165</v>
      </c>
      <c r="C9" s="77">
        <v>186</v>
      </c>
      <c r="D9" s="77">
        <v>99</v>
      </c>
      <c r="E9" s="81">
        <v>1240</v>
      </c>
    </row>
    <row r="10" spans="1:5" ht="15.75" thickBot="1">
      <c r="A10" s="77" t="s">
        <v>200</v>
      </c>
      <c r="B10" s="77">
        <v>106</v>
      </c>
      <c r="C10" s="77">
        <v>121</v>
      </c>
      <c r="D10" s="77">
        <v>116</v>
      </c>
      <c r="E10" s="81">
        <v>1200</v>
      </c>
    </row>
    <row r="11" spans="1:5" ht="15.75" thickBot="1">
      <c r="A11" s="77" t="s">
        <v>201</v>
      </c>
      <c r="B11" s="77">
        <v>98</v>
      </c>
      <c r="C11" s="77">
        <v>71</v>
      </c>
      <c r="D11" s="77">
        <v>69</v>
      </c>
      <c r="E11" s="81">
        <v>1132</v>
      </c>
    </row>
    <row r="12" spans="1:5" ht="15.75" thickBot="1">
      <c r="A12" s="77" t="s">
        <v>202</v>
      </c>
      <c r="B12" s="77">
        <v>76</v>
      </c>
      <c r="C12" s="77">
        <v>82</v>
      </c>
      <c r="D12" s="77">
        <v>74</v>
      </c>
      <c r="E12" s="81">
        <v>1134</v>
      </c>
    </row>
    <row r="13" spans="1:5" ht="15.75" thickBot="1">
      <c r="A13" s="77" t="s">
        <v>203</v>
      </c>
      <c r="B13" s="77">
        <v>109</v>
      </c>
      <c r="C13" s="77">
        <v>121</v>
      </c>
      <c r="D13" s="77">
        <v>86</v>
      </c>
      <c r="E13" s="81">
        <v>1210</v>
      </c>
    </row>
    <row r="14" spans="1:5" ht="15.75" thickBot="1">
      <c r="A14" s="77" t="s">
        <v>204</v>
      </c>
      <c r="B14" s="77">
        <v>139</v>
      </c>
      <c r="C14" s="77">
        <v>121</v>
      </c>
      <c r="D14" s="77">
        <v>232</v>
      </c>
      <c r="E14" s="81">
        <v>1406</v>
      </c>
    </row>
    <row r="15" spans="1:5" ht="15.75" thickBot="1">
      <c r="A15" s="77" t="s">
        <v>205</v>
      </c>
      <c r="B15" s="77">
        <v>124</v>
      </c>
      <c r="C15" s="77">
        <v>124</v>
      </c>
      <c r="D15" s="77">
        <v>109</v>
      </c>
      <c r="E15" s="81">
        <v>1340</v>
      </c>
    </row>
    <row r="16" spans="1:5" ht="15.75" thickBot="1">
      <c r="A16" s="77" t="s">
        <v>206</v>
      </c>
      <c r="B16" s="77">
        <v>112</v>
      </c>
      <c r="C16" s="77">
        <v>102</v>
      </c>
      <c r="D16" s="77">
        <v>69</v>
      </c>
      <c r="E16" s="81">
        <v>1160</v>
      </c>
    </row>
    <row r="17" spans="1:5" ht="15.75" thickBot="1">
      <c r="A17" s="77" t="s">
        <v>207</v>
      </c>
      <c r="B17" s="77">
        <v>98</v>
      </c>
      <c r="C17" s="77">
        <v>86</v>
      </c>
      <c r="D17" s="77">
        <v>48</v>
      </c>
      <c r="E17" s="81">
        <v>1089</v>
      </c>
    </row>
    <row r="18" spans="1:5" ht="29.25" thickBot="1">
      <c r="A18" s="77" t="s">
        <v>208</v>
      </c>
      <c r="B18" s="77" t="s">
        <v>209</v>
      </c>
      <c r="C18" s="77">
        <v>152</v>
      </c>
      <c r="D18" s="77">
        <v>234</v>
      </c>
      <c r="E18" s="81">
        <v>980</v>
      </c>
    </row>
    <row r="19" spans="1:5" ht="15.75" thickBot="1">
      <c r="A19" s="77" t="s">
        <v>210</v>
      </c>
      <c r="B19" s="77">
        <v>89</v>
      </c>
      <c r="C19" s="77">
        <v>132</v>
      </c>
      <c r="D19" s="77">
        <v>69</v>
      </c>
      <c r="E19" s="81">
        <v>1083</v>
      </c>
    </row>
    <row r="20" spans="1:5" ht="15.75" thickBot="1">
      <c r="A20" s="77" t="s">
        <v>211</v>
      </c>
      <c r="B20" s="77">
        <v>156</v>
      </c>
      <c r="C20" s="77">
        <v>134</v>
      </c>
      <c r="D20" s="77">
        <v>72</v>
      </c>
      <c r="E20" s="81">
        <v>1256</v>
      </c>
    </row>
    <row r="21" spans="1:5" ht="15.75" thickBot="1">
      <c r="A21" s="77" t="s">
        <v>212</v>
      </c>
      <c r="B21" s="77">
        <v>112</v>
      </c>
      <c r="C21" s="77">
        <v>109</v>
      </c>
      <c r="D21" s="77">
        <v>87</v>
      </c>
      <c r="E21" s="81">
        <v>1184</v>
      </c>
    </row>
    <row r="22" spans="1:5" ht="15.75" thickBot="1">
      <c r="A22" s="77" t="s">
        <v>213</v>
      </c>
      <c r="B22" s="77">
        <v>89</v>
      </c>
      <c r="C22" s="77">
        <v>89</v>
      </c>
      <c r="D22" s="77">
        <v>194</v>
      </c>
      <c r="E22" s="81">
        <v>1299</v>
      </c>
    </row>
    <row r="23" spans="1:5" ht="15.75" thickBot="1">
      <c r="A23" s="77" t="s">
        <v>214</v>
      </c>
      <c r="B23" s="77">
        <v>79</v>
      </c>
      <c r="C23" s="77">
        <v>96</v>
      </c>
      <c r="D23" s="77">
        <v>68</v>
      </c>
      <c r="E23" s="81">
        <v>1140</v>
      </c>
    </row>
    <row r="24" spans="1:5" ht="15.75" thickBot="1">
      <c r="A24" s="77" t="s">
        <v>215</v>
      </c>
      <c r="B24" s="77">
        <v>158</v>
      </c>
      <c r="C24" s="77">
        <v>196</v>
      </c>
      <c r="D24" s="77">
        <v>243</v>
      </c>
      <c r="E24" s="81">
        <v>1248</v>
      </c>
    </row>
    <row r="25" spans="1:5" ht="15.75" thickBot="1">
      <c r="A25" s="77" t="s">
        <v>216</v>
      </c>
      <c r="B25" s="77">
        <v>86</v>
      </c>
      <c r="C25" s="77">
        <v>86</v>
      </c>
      <c r="D25" s="77">
        <v>63</v>
      </c>
      <c r="E25" s="81">
        <v>1240</v>
      </c>
    </row>
    <row r="26" spans="1:5" ht="15.75" thickBot="1">
      <c r="A26" s="77" t="s">
        <v>217</v>
      </c>
      <c r="B26" s="77">
        <v>89</v>
      </c>
      <c r="C26" s="77">
        <v>125</v>
      </c>
      <c r="D26" s="77">
        <v>110</v>
      </c>
      <c r="E26" s="81">
        <v>1245</v>
      </c>
    </row>
    <row r="27" spans="1:5" ht="15.75" thickBot="1">
      <c r="A27" s="77" t="s">
        <v>218</v>
      </c>
      <c r="B27" s="77">
        <v>99</v>
      </c>
      <c r="C27" s="77">
        <v>99</v>
      </c>
      <c r="D27" s="77">
        <v>67</v>
      </c>
      <c r="E27" s="81">
        <v>849</v>
      </c>
    </row>
    <row r="28" spans="1:5" ht="15.75" thickBot="1">
      <c r="A28" s="77" t="s">
        <v>219</v>
      </c>
      <c r="B28" s="77">
        <v>86</v>
      </c>
      <c r="C28" s="77">
        <v>68</v>
      </c>
      <c r="D28" s="77">
        <v>46</v>
      </c>
      <c r="E28" s="81">
        <v>1164</v>
      </c>
    </row>
    <row r="29" spans="1:5" ht="15.75" thickBot="1">
      <c r="A29" s="77" t="s">
        <v>220</v>
      </c>
      <c r="B29" s="77">
        <v>129</v>
      </c>
      <c r="C29" s="77">
        <v>85</v>
      </c>
      <c r="D29" s="77">
        <v>97</v>
      </c>
      <c r="E29" s="81">
        <v>1156</v>
      </c>
    </row>
    <row r="30" spans="1:5" ht="15.75" thickBot="1">
      <c r="A30" s="77"/>
      <c r="B30" s="77"/>
      <c r="C30" s="77"/>
      <c r="D30" s="77"/>
      <c r="E30" s="81"/>
    </row>
    <row r="31" spans="1:5" ht="15.75" thickBot="1">
      <c r="A31" s="78" t="s">
        <v>221</v>
      </c>
      <c r="B31" s="78">
        <v>158</v>
      </c>
      <c r="C31" s="78">
        <v>186</v>
      </c>
      <c r="D31" s="78">
        <v>234</v>
      </c>
      <c r="E31" s="82">
        <v>1406</v>
      </c>
    </row>
    <row r="32" spans="1:5" ht="15.75" thickBot="1">
      <c r="A32" s="77" t="s">
        <v>222</v>
      </c>
      <c r="B32" s="77">
        <v>76</v>
      </c>
      <c r="C32" s="77">
        <v>68</v>
      </c>
      <c r="D32" s="77">
        <v>48</v>
      </c>
      <c r="E32" s="81">
        <v>849</v>
      </c>
    </row>
    <row r="33" spans="1:5" ht="15.75" thickBot="1">
      <c r="A33" s="83" t="s">
        <v>223</v>
      </c>
      <c r="B33" s="83">
        <v>114</v>
      </c>
      <c r="C33" s="83">
        <v>120</v>
      </c>
      <c r="D33" s="83">
        <v>135</v>
      </c>
      <c r="E33" s="84">
        <v>1120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УШП</vt:lpstr>
      <vt:lpstr>Теплоизоляция</vt:lpstr>
      <vt:lpstr>Гидроизоляция</vt:lpstr>
      <vt:lpstr>Панели</vt:lpstr>
      <vt:lpstr>Мокрый фасад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2018-01-01T17:09:09Z</dcterms:created>
  <dcterms:modified xsi:type="dcterms:W3CDTF">2018-02-08T09:17:32Z</dcterms:modified>
</cp:coreProperties>
</file>